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ACCESO 2024 ASOKIGUA\ACCESO SEPTIEMBRE ASOKIGUA 2024\"/>
    </mc:Choice>
  </mc:AlternateContent>
  <xr:revisionPtr revIDLastSave="0" documentId="13_ncr:1_{90C5574C-F59A-464E-B16D-F9DF2BFA6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 Y EGRESOS" sheetId="1" r:id="rId1"/>
    <sheet name="TRANSFERENCIA Y MODIFICACIONES" sheetId="2" r:id="rId2"/>
  </sheets>
  <externalReferences>
    <externalReference r:id="rId3"/>
    <externalReference r:id="rId4"/>
  </externalReferences>
  <definedNames>
    <definedName name="_xlnm.Print_Area" localSheetId="0">'INGRESOS Y EGRESOS'!$A$1:$L$141</definedName>
    <definedName name="_xlnm.Print_Area" localSheetId="1">'TRANSFERENCIA Y MODIFICACIONES'!$A$44:$G$140</definedName>
    <definedName name="_xlnm.Print_Titles" localSheetId="1">'TRANSFERENCIA Y MODIFICACIONES'!$44:$49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1" l="1"/>
  <c r="L32" i="1"/>
  <c r="L28" i="1"/>
  <c r="L27" i="1"/>
  <c r="E32" i="1"/>
  <c r="E29" i="1"/>
  <c r="G29" i="1" s="1"/>
  <c r="E27" i="1"/>
  <c r="D27" i="1"/>
  <c r="G27" i="1" s="1"/>
  <c r="D20" i="1"/>
  <c r="J32" i="1"/>
  <c r="I32" i="1"/>
  <c r="K31" i="1"/>
  <c r="K33" i="1" s="1"/>
  <c r="J27" i="1"/>
  <c r="I27" i="1"/>
  <c r="I33" i="1" s="1"/>
  <c r="H27" i="1"/>
  <c r="H33" i="1" s="1"/>
  <c r="G31" i="1"/>
  <c r="G30" i="1"/>
  <c r="G28" i="1"/>
  <c r="G26" i="1"/>
  <c r="G25" i="1"/>
  <c r="G24" i="1"/>
  <c r="G23" i="1"/>
  <c r="G22" i="1"/>
  <c r="G21" i="1"/>
  <c r="G20" i="1"/>
  <c r="E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7" i="2"/>
  <c r="G96" i="2"/>
  <c r="G95" i="2"/>
  <c r="G94" i="2"/>
  <c r="G93" i="2"/>
  <c r="G92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F122" i="2"/>
  <c r="G122" i="2" s="1"/>
  <c r="F112" i="2"/>
  <c r="D112" i="2"/>
  <c r="G112" i="2" s="1"/>
  <c r="D99" i="2"/>
  <c r="D139" i="2" s="1"/>
  <c r="F98" i="2"/>
  <c r="G98" i="2" s="1"/>
  <c r="F96" i="2"/>
  <c r="F91" i="2"/>
  <c r="G91" i="2" s="1"/>
  <c r="F90" i="2"/>
  <c r="G90" i="2" s="1"/>
  <c r="F88" i="2"/>
  <c r="F74" i="2"/>
  <c r="G74" i="2" s="1"/>
  <c r="F73" i="2"/>
  <c r="G73" i="2" s="1"/>
  <c r="G33" i="2"/>
  <c r="G32" i="2"/>
  <c r="G31" i="2"/>
  <c r="G30" i="2"/>
  <c r="G29" i="2"/>
  <c r="G28" i="2"/>
  <c r="G27" i="2"/>
  <c r="G26" i="2"/>
  <c r="G24" i="2"/>
  <c r="G23" i="2"/>
  <c r="G22" i="2"/>
  <c r="G21" i="2"/>
  <c r="G20" i="2"/>
  <c r="F25" i="2"/>
  <c r="G25" i="2" s="1"/>
  <c r="D34" i="2"/>
  <c r="E34" i="2"/>
  <c r="L96" i="1"/>
  <c r="L90" i="1"/>
  <c r="L88" i="1"/>
  <c r="L60" i="1"/>
  <c r="F140" i="1"/>
  <c r="K137" i="1"/>
  <c r="K125" i="1"/>
  <c r="K123" i="1"/>
  <c r="K90" i="1"/>
  <c r="K88" i="1"/>
  <c r="K74" i="1"/>
  <c r="K60" i="1"/>
  <c r="I123" i="1"/>
  <c r="J137" i="1"/>
  <c r="I137" i="1"/>
  <c r="J125" i="1"/>
  <c r="I125" i="1"/>
  <c r="J103" i="1"/>
  <c r="J90" i="1"/>
  <c r="I90" i="1"/>
  <c r="J88" i="1"/>
  <c r="I88" i="1"/>
  <c r="J74" i="1"/>
  <c r="J60" i="1"/>
  <c r="I60" i="1"/>
  <c r="H90" i="1"/>
  <c r="H88" i="1"/>
  <c r="H60" i="1"/>
  <c r="H59" i="1"/>
  <c r="G55" i="1"/>
  <c r="G56" i="1"/>
  <c r="G57" i="1"/>
  <c r="G58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1" i="1"/>
  <c r="G92" i="1"/>
  <c r="G93" i="1"/>
  <c r="G94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4" i="1"/>
  <c r="G115" i="1"/>
  <c r="G116" i="1"/>
  <c r="G117" i="1"/>
  <c r="G118" i="1"/>
  <c r="G119" i="1"/>
  <c r="G120" i="1"/>
  <c r="G121" i="1"/>
  <c r="G123" i="1"/>
  <c r="G124" i="1"/>
  <c r="G125" i="1"/>
  <c r="G127" i="1"/>
  <c r="G128" i="1"/>
  <c r="G129" i="1"/>
  <c r="G130" i="1"/>
  <c r="G131" i="1"/>
  <c r="G132" i="1"/>
  <c r="G133" i="1"/>
  <c r="G134" i="1"/>
  <c r="G136" i="1"/>
  <c r="G137" i="1"/>
  <c r="G138" i="1"/>
  <c r="G139" i="1"/>
  <c r="G32" i="1"/>
  <c r="G19" i="1"/>
  <c r="E90" i="1"/>
  <c r="E88" i="1"/>
  <c r="E60" i="1"/>
  <c r="D122" i="1"/>
  <c r="D112" i="1"/>
  <c r="D99" i="1"/>
  <c r="D95" i="1"/>
  <c r="D90" i="1"/>
  <c r="D88" i="1"/>
  <c r="D60" i="1"/>
  <c r="C90" i="1"/>
  <c r="C59" i="1"/>
  <c r="G59" i="1" s="1"/>
  <c r="C33" i="1"/>
  <c r="A93" i="1"/>
  <c r="F139" i="2" l="1"/>
  <c r="F34" i="2"/>
  <c r="G99" i="2"/>
  <c r="H140" i="1"/>
  <c r="D140" i="1"/>
  <c r="E140" i="1"/>
  <c r="J140" i="1"/>
  <c r="G33" i="1"/>
  <c r="I140" i="1"/>
  <c r="K140" i="1"/>
  <c r="L140" i="1"/>
  <c r="E33" i="1"/>
  <c r="F33" i="1"/>
  <c r="J33" i="1"/>
  <c r="L33" i="1"/>
  <c r="G90" i="1"/>
  <c r="G60" i="1"/>
  <c r="G88" i="1"/>
  <c r="G95" i="1"/>
  <c r="G99" i="1"/>
  <c r="G112" i="1"/>
  <c r="G122" i="1"/>
  <c r="D33" i="1"/>
  <c r="C140" i="1"/>
  <c r="A93" i="2"/>
  <c r="C56" i="2"/>
  <c r="G56" i="2" s="1"/>
  <c r="C55" i="2"/>
  <c r="G55" i="2" s="1"/>
  <c r="G139" i="2" s="1"/>
  <c r="B49" i="1"/>
  <c r="G140" i="1" l="1"/>
  <c r="C139" i="2"/>
  <c r="C34" i="2"/>
  <c r="J32" i="2" l="1"/>
  <c r="J31" i="2"/>
  <c r="J30" i="2"/>
  <c r="J29" i="2"/>
  <c r="J28" i="2"/>
  <c r="J27" i="2"/>
  <c r="J26" i="2"/>
  <c r="J23" i="2"/>
  <c r="J22" i="2"/>
  <c r="J21" i="2"/>
  <c r="H34" i="2" l="1"/>
  <c r="J25" i="2" l="1"/>
  <c r="J34" i="2" s="1"/>
  <c r="I34" i="2"/>
  <c r="G34" i="2"/>
  <c r="J20" i="2"/>
</calcChain>
</file>

<file path=xl/sharedStrings.xml><?xml version="1.0" encoding="utf-8"?>
<sst xmlns="http://schemas.openxmlformats.org/spreadsheetml/2006/main" count="310" uniqueCount="157">
  <si>
    <t>Cifras expresadas en quetzales</t>
  </si>
  <si>
    <t>MODIFICACIONES</t>
  </si>
  <si>
    <t>INGRESOS</t>
  </si>
  <si>
    <t xml:space="preserve">AUMENTO </t>
  </si>
  <si>
    <t>DISMINUCION</t>
  </si>
  <si>
    <t>VIGENTE</t>
  </si>
  <si>
    <t>ENERO</t>
  </si>
  <si>
    <t>SALDOS INICIALES</t>
  </si>
  <si>
    <t>Asignaciones de C.D.A.G.</t>
  </si>
  <si>
    <t>Ayudas extraordinaria C.D.A.G</t>
  </si>
  <si>
    <t>Intereses de Bancos</t>
  </si>
  <si>
    <t>Ingresos por ajustes y/o reintegros</t>
  </si>
  <si>
    <t>TOTAL DE INGRESOS</t>
  </si>
  <si>
    <t>Ejecucion Presupuestaria de Egresos</t>
  </si>
  <si>
    <t>SERVICIOS PERSONALES</t>
  </si>
  <si>
    <t>PERSONAL PERMANENTE</t>
  </si>
  <si>
    <t>COMPLEMENTO ESPECIFICO AL PERSONAL PERMANENTE</t>
  </si>
  <si>
    <t>PERSONAL POR CONTRATO</t>
  </si>
  <si>
    <t>COMPLEMENTO ESPECIFICO AL PERSONAL TEMPORAL</t>
  </si>
  <si>
    <t>CUOTA PATRONAL IGSS</t>
  </si>
  <si>
    <t>DIETAS</t>
  </si>
  <si>
    <t>AGUINALDOS</t>
  </si>
  <si>
    <t>BONIFICACION ANUAL (BONO 14)</t>
  </si>
  <si>
    <t>OTRAS PRESTACIONES</t>
  </si>
  <si>
    <t>SERVICIOS NO PERSONALES</t>
  </si>
  <si>
    <t>ENERGIA ELECTRICA</t>
  </si>
  <si>
    <t>AGUA</t>
  </si>
  <si>
    <t>TELEFONIA</t>
  </si>
  <si>
    <t>CORREOS Y TELEGRAFOS</t>
  </si>
  <si>
    <t>EXTRACCION DE BASURA Y DEST. DESECHOS SOLIDOS</t>
  </si>
  <si>
    <t>DIVULGACION E INFORMACION</t>
  </si>
  <si>
    <t>VIATICOS EN EL EXTERIOR</t>
  </si>
  <si>
    <t>TRANSPORTE DE PERSONAS</t>
  </si>
  <si>
    <t>FLETES</t>
  </si>
  <si>
    <t>ARRENDAMIENTO DE EDIFICIOS Y LOCALES</t>
  </si>
  <si>
    <t>ARRENDAMIENTO DE TIERRAS Y TERRENOS</t>
  </si>
  <si>
    <t>ARRENDAMIENTO DE MAQUINAS Y EQUIPO DE OFICINA</t>
  </si>
  <si>
    <t>ARRENDAMIENTO DE MEDIOS DE TRANSPORTE</t>
  </si>
  <si>
    <t>MANTENIM. Y REP. DE EQUIP EDUC Y RECRE.</t>
  </si>
  <si>
    <t>MANTENIM. Y REPARACION EQUIPO COMPUTO</t>
  </si>
  <si>
    <t>SERVICIOS JURIDICOS</t>
  </si>
  <si>
    <t>SERVICIOS DE CAPACITACION</t>
  </si>
  <si>
    <t>SERVICIOS DE INFORMATICA Y SISTEMAS COMPUTARIZADOS</t>
  </si>
  <si>
    <t>OTROS ESTUDIOS Y/O SERVICIOS</t>
  </si>
  <si>
    <t>SERVICIOS DE ATENCION Y PROTOCOLOS</t>
  </si>
  <si>
    <t>SERVICIOS DE VIGILANCIA</t>
  </si>
  <si>
    <t>OTROS SERVICIOS NO PERSONALES</t>
  </si>
  <si>
    <t>MATERIALES Y SUMINISTROS</t>
  </si>
  <si>
    <t>ALIMENTOS PARA PERSONAS</t>
  </si>
  <si>
    <t>PRENDAS DE VESTIR (UNIFORMES)</t>
  </si>
  <si>
    <t>PAPEL DE ESCRITORIO</t>
  </si>
  <si>
    <t>PRODUCTOS DE PAPEL O CARTON</t>
  </si>
  <si>
    <t>ESPECIES TIMBRES Y VALORES</t>
  </si>
  <si>
    <t>COMBUSTIBLES Y LUBRICANTES</t>
  </si>
  <si>
    <t>PRODUCTOS MEDICINALES Y FARMACEUTICOS</t>
  </si>
  <si>
    <t>TINTES, PINTURAS Y COLORANTES</t>
  </si>
  <si>
    <t>PRODUCTOS PLASTICOS, NYLON, VINIL Y P.V.C.</t>
  </si>
  <si>
    <t>PRODUCTOS DE METAL</t>
  </si>
  <si>
    <t>UTILES DE OFICINA</t>
  </si>
  <si>
    <t>UTILES DE LIMPIEZA Y PRODUCTOS SANITARIOS</t>
  </si>
  <si>
    <t xml:space="preserve">UTILES DEPORTIVOS Y RECREATIVOS </t>
  </si>
  <si>
    <t>OTROS MATERIALES Y SUMINISTROS</t>
  </si>
  <si>
    <t>PROPIEDAD, PLANTA Y EQUIPO</t>
  </si>
  <si>
    <t>EQUIPO DE OFICINA</t>
  </si>
  <si>
    <t>EQUIPO DE COMPUTO</t>
  </si>
  <si>
    <t>TRANSFERENCIAS CORRIENTES</t>
  </si>
  <si>
    <t>INDEMNIZACIONES AL PERSONAL</t>
  </si>
  <si>
    <t>VACACIONES PAGADAS POR RETIRO</t>
  </si>
  <si>
    <t>OTRAS TRANSFERENCIAS A PERSONAS</t>
  </si>
  <si>
    <t>TRANSFERENCIAS A ORGANISMOS E INSTITUCIONES INTERNACIONALES</t>
  </si>
  <si>
    <t>TOTAL DE EGRESOS</t>
  </si>
  <si>
    <t>ACUMULADO</t>
  </si>
  <si>
    <t>EQUIPO EDUCACIONAL, CULTURAL Y RECREATIVO</t>
  </si>
  <si>
    <t xml:space="preserve"> 071</t>
  </si>
  <si>
    <t>079</t>
  </si>
  <si>
    <t>1</t>
  </si>
  <si>
    <t xml:space="preserve"> 141</t>
  </si>
  <si>
    <t xml:space="preserve"> 142</t>
  </si>
  <si>
    <t>MANTENIMIENTO Y REPARACION DE MAQUINARIAY EQUIPO</t>
  </si>
  <si>
    <t xml:space="preserve"> 168</t>
  </si>
  <si>
    <t>MANTENIM. DE OTRAS MAQUINAS Y EQUIPO</t>
  </si>
  <si>
    <t>SERVICIOS MEDICO - SANITARIOS</t>
  </si>
  <si>
    <t>PRIMAS Y GASTOS DE SEGUROS Y FIANZAS</t>
  </si>
  <si>
    <t xml:space="preserve"> 194</t>
  </si>
  <si>
    <t>OTRAS COMIS. Y GASTOS BANCARIOS</t>
  </si>
  <si>
    <t>IMPUESTOS, DERECHOS Y TASAS</t>
  </si>
  <si>
    <t>2</t>
  </si>
  <si>
    <t xml:space="preserve"> 233</t>
  </si>
  <si>
    <t xml:space="preserve"> 241</t>
  </si>
  <si>
    <t xml:space="preserve"> 243</t>
  </si>
  <si>
    <t xml:space="preserve"> 267</t>
  </si>
  <si>
    <t xml:space="preserve"> 291</t>
  </si>
  <si>
    <t xml:space="preserve"> 292</t>
  </si>
  <si>
    <t xml:space="preserve"> 299</t>
  </si>
  <si>
    <t>3</t>
  </si>
  <si>
    <t>4</t>
  </si>
  <si>
    <t xml:space="preserve"> 413</t>
  </si>
  <si>
    <t>CUOTA LABORAL IGSS POR PAGAR E IMPUESTOS POR PAGAR</t>
  </si>
  <si>
    <t>CUADRO DE TRANSFERENCIA Y MODIFICACIONES</t>
  </si>
  <si>
    <t>Presupuesto CDAG/OTRAS FUENTES</t>
  </si>
  <si>
    <t>AMPLIACION OTRAS FUENTES</t>
  </si>
  <si>
    <t>Cuota Laboral IGSS por Pagar</t>
  </si>
  <si>
    <t>Impuestos por pagar</t>
  </si>
  <si>
    <t xml:space="preserve">Retención ISR Servicios Profesionales </t>
  </si>
  <si>
    <t xml:space="preserve">Retención ISR Servicios Laborales </t>
  </si>
  <si>
    <t>Retencion ISR Sorteos</t>
  </si>
  <si>
    <t xml:space="preserve">Retención ISR a personas no recidentes </t>
  </si>
  <si>
    <t xml:space="preserve">Retención IGSS Laboral </t>
  </si>
  <si>
    <t>Devolucion de ISR</t>
  </si>
  <si>
    <t>Devoluciones a Comité Olimpico Guatemalteco</t>
  </si>
  <si>
    <t>Timbres Fiscales</t>
  </si>
  <si>
    <t>Impresión y Encuadernacion</t>
  </si>
  <si>
    <t>Apoyo  para juegos deportivos Nacionales</t>
  </si>
  <si>
    <t>Cuentas por pagar</t>
  </si>
  <si>
    <t xml:space="preserve"> LIBROS REVISTA Y PERIODICOS</t>
  </si>
  <si>
    <t xml:space="preserve">Bono 14 </t>
  </si>
  <si>
    <t>Ejecucion Presupuestaria de Ingresos</t>
  </si>
  <si>
    <t>TOTAL DE PORCENTAJE EJECUTADO SEGÚN DISTRIBUCION</t>
  </si>
  <si>
    <t>FEBRERO</t>
  </si>
  <si>
    <t>ASOCIACION DEPORTIVA NACIONAL DE GUATEMALA -ASOKIGUA-</t>
  </si>
  <si>
    <t>HORARIO DE ATENCIÓN A CLIENTE: 08:00 a 16:00 hrs</t>
  </si>
  <si>
    <t xml:space="preserve">Devoluciones a Confederacion Deportiva Autonoma de Guatemala </t>
  </si>
  <si>
    <t>KICKBOXING ADAPTADO</t>
  </si>
  <si>
    <t>Apoyo extraordinario World Combat Games</t>
  </si>
  <si>
    <t>MARZO</t>
  </si>
  <si>
    <t xml:space="preserve">ABRIL </t>
  </si>
  <si>
    <t xml:space="preserve">MAYO </t>
  </si>
  <si>
    <t>JUNIO</t>
  </si>
  <si>
    <t>I CUATRIMESTRE</t>
  </si>
  <si>
    <t xml:space="preserve">RESPONSABLE DE PUBLICACION: MARIO RODOLFO CASTRO ESCOBAR </t>
  </si>
  <si>
    <t>RESPONSABLE DE PUBLICACION: MARIO RODOLFO CASTRO ESCOBAR</t>
  </si>
  <si>
    <t>JULIO</t>
  </si>
  <si>
    <t>Arrendamiento de otras máquinas y equipo</t>
  </si>
  <si>
    <t>AGOSTO</t>
  </si>
  <si>
    <t>SEPTIEMBRE</t>
  </si>
  <si>
    <t>Numeral 7</t>
  </si>
  <si>
    <t>NUMERAL 7</t>
  </si>
  <si>
    <t>Ejecucion Presupuestaria de Ingresos 2024</t>
  </si>
  <si>
    <t xml:space="preserve">GASTOS DE REPRESENTACION </t>
  </si>
  <si>
    <t>SERV. POR ACTUACIONES ARTISTICAS Y DEPORTIVOS</t>
  </si>
  <si>
    <t xml:space="preserve">OTROS PRODUCTOS DE PAPEL, CARTON E IMPRESOS </t>
  </si>
  <si>
    <t xml:space="preserve">Retención Timbres Fiscal </t>
  </si>
  <si>
    <t>Cuenta por cobrar</t>
  </si>
  <si>
    <t>Fianza de fidelidad</t>
  </si>
  <si>
    <t>Ingresos Propios  y/o donaciones</t>
  </si>
  <si>
    <t>Inscripciones, cuotas afiliaciones</t>
  </si>
  <si>
    <t>MAYO</t>
  </si>
  <si>
    <t>UTILES, ACCESORIOS Y MATERIALES ELECTRICOS</t>
  </si>
  <si>
    <t>Devolucion</t>
  </si>
  <si>
    <t>Traslado de fondos a la cuenta BI</t>
  </si>
  <si>
    <t>Ayudas extraordinaria C.O.G.</t>
  </si>
  <si>
    <t>FECHA ACTUALIZADA: SEPTIEMBRE 2024.</t>
  </si>
  <si>
    <t>Ayudas extraordinaria C.O.G</t>
  </si>
  <si>
    <t>(502) 22239500 EXT: 252</t>
  </si>
  <si>
    <t>ENCARGADO DE  ACCESO A LA INFORMACION PUBLICA : NOE ALEXANDER LOPEZ BARRIENTOS</t>
  </si>
  <si>
    <t>ENCARGADO  ACCESO A LA INFORMACION PUBLICA : NOE ALEXANDER LOPEZ BARRIENTOS</t>
  </si>
  <si>
    <t>ENCARGADO ACCESO A LA INFORMACION PUBLICA : NOE ALEXANDER LOPEZ BARRIENTOS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</si>
</sst>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Q&quot;#,##0.00"/>
    <numFmt numFmtId="166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4" fontId="6" fillId="2" borderId="2" xfId="0" applyNumberFormat="1" applyFont="1" applyFill="1" applyBorder="1"/>
    <xf numFmtId="4" fontId="5" fillId="2" borderId="2" xfId="0" applyNumberFormat="1" applyFont="1" applyFill="1" applyBorder="1"/>
    <xf numFmtId="0" fontId="2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wrapText="1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12" xfId="0" applyFont="1" applyFill="1" applyBorder="1" applyAlignment="1">
      <alignment horizontal="left" wrapText="1"/>
    </xf>
    <xf numFmtId="40" fontId="6" fillId="0" borderId="2" xfId="0" applyNumberFormat="1" applyFont="1" applyBorder="1"/>
    <xf numFmtId="4" fontId="5" fillId="0" borderId="0" xfId="0" applyNumberFormat="1" applyFont="1"/>
    <xf numFmtId="4" fontId="6" fillId="0" borderId="2" xfId="0" applyNumberFormat="1" applyFont="1" applyBorder="1"/>
    <xf numFmtId="4" fontId="6" fillId="0" borderId="0" xfId="0" applyNumberFormat="1" applyFont="1"/>
    <xf numFmtId="0" fontId="2" fillId="0" borderId="0" xfId="0" applyFont="1" applyAlignment="1">
      <alignment horizontal="center" vertical="center"/>
    </xf>
    <xf numFmtId="4" fontId="5" fillId="2" borderId="2" xfId="1" applyNumberFormat="1" applyFont="1" applyFill="1" applyBorder="1"/>
    <xf numFmtId="0" fontId="5" fillId="2" borderId="2" xfId="0" applyFont="1" applyFill="1" applyBorder="1"/>
    <xf numFmtId="2" fontId="5" fillId="2" borderId="2" xfId="0" applyNumberFormat="1" applyFont="1" applyFill="1" applyBorder="1"/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9" xfId="0" applyNumberFormat="1" applyFont="1" applyFill="1" applyBorder="1"/>
    <xf numFmtId="4" fontId="5" fillId="2" borderId="20" xfId="0" applyNumberFormat="1" applyFont="1" applyFill="1" applyBorder="1"/>
    <xf numFmtId="4" fontId="5" fillId="2" borderId="21" xfId="0" applyNumberFormat="1" applyFont="1" applyFill="1" applyBorder="1"/>
    <xf numFmtId="4" fontId="5" fillId="2" borderId="23" xfId="0" applyNumberFormat="1" applyFont="1" applyFill="1" applyBorder="1"/>
    <xf numFmtId="4" fontId="5" fillId="2" borderId="24" xfId="0" applyNumberFormat="1" applyFont="1" applyFill="1" applyBorder="1"/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8" fillId="0" borderId="10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/>
    <xf numFmtId="4" fontId="5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4" fontId="8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wrapText="1"/>
    </xf>
    <xf numFmtId="4" fontId="5" fillId="2" borderId="25" xfId="0" applyNumberFormat="1" applyFont="1" applyFill="1" applyBorder="1" applyAlignment="1">
      <alignment horizontal="center" wrapText="1"/>
    </xf>
    <xf numFmtId="4" fontId="5" fillId="2" borderId="19" xfId="1" applyNumberFormat="1" applyFont="1" applyFill="1" applyBorder="1"/>
    <xf numFmtId="4" fontId="5" fillId="0" borderId="23" xfId="0" applyNumberFormat="1" applyFont="1" applyBorder="1"/>
    <xf numFmtId="40" fontId="6" fillId="2" borderId="2" xfId="0" applyNumberFormat="1" applyFont="1" applyFill="1" applyBorder="1"/>
    <xf numFmtId="0" fontId="6" fillId="0" borderId="11" xfId="0" applyFont="1" applyBorder="1" applyAlignment="1">
      <alignment horizont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4" fillId="0" borderId="2" xfId="0" applyFont="1" applyBorder="1"/>
    <xf numFmtId="40" fontId="6" fillId="2" borderId="19" xfId="0" applyNumberFormat="1" applyFont="1" applyFill="1" applyBorder="1"/>
    <xf numFmtId="4" fontId="6" fillId="0" borderId="23" xfId="0" applyNumberFormat="1" applyFont="1" applyBorder="1"/>
    <xf numFmtId="165" fontId="8" fillId="2" borderId="17" xfId="0" applyNumberFormat="1" applyFont="1" applyFill="1" applyBorder="1" applyAlignment="1">
      <alignment horizontal="center" vertical="top" wrapText="1"/>
    </xf>
    <xf numFmtId="4" fontId="6" fillId="2" borderId="19" xfId="1" applyNumberFormat="1" applyFont="1" applyFill="1" applyBorder="1"/>
    <xf numFmtId="4" fontId="6" fillId="2" borderId="20" xfId="0" applyNumberFormat="1" applyFont="1" applyFill="1" applyBorder="1"/>
    <xf numFmtId="4" fontId="6" fillId="2" borderId="21" xfId="0" applyNumberFormat="1" applyFont="1" applyFill="1" applyBorder="1"/>
    <xf numFmtId="4" fontId="5" fillId="2" borderId="26" xfId="0" applyNumberFormat="1" applyFont="1" applyFill="1" applyBorder="1"/>
    <xf numFmtId="4" fontId="5" fillId="2" borderId="27" xfId="0" applyNumberFormat="1" applyFont="1" applyFill="1" applyBorder="1"/>
    <xf numFmtId="4" fontId="5" fillId="2" borderId="28" xfId="0" applyNumberFormat="1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4" fontId="5" fillId="2" borderId="22" xfId="0" applyNumberFormat="1" applyFont="1" applyFill="1" applyBorder="1" applyAlignment="1">
      <alignment wrapText="1"/>
    </xf>
    <xf numFmtId="4" fontId="8" fillId="2" borderId="16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4" fontId="6" fillId="2" borderId="2" xfId="2" applyNumberFormat="1" applyFont="1" applyFill="1" applyBorder="1" applyAlignment="1" applyProtection="1">
      <alignment vertical="center"/>
      <protection locked="0"/>
    </xf>
    <xf numFmtId="49" fontId="6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 wrapText="1"/>
    </xf>
    <xf numFmtId="4" fontId="6" fillId="2" borderId="23" xfId="0" applyNumberFormat="1" applyFont="1" applyFill="1" applyBorder="1"/>
    <xf numFmtId="166" fontId="6" fillId="2" borderId="2" xfId="0" applyNumberFormat="1" applyFont="1" applyFill="1" applyBorder="1"/>
    <xf numFmtId="166" fontId="6" fillId="0" borderId="2" xfId="0" applyNumberFormat="1" applyFont="1" applyBorder="1"/>
    <xf numFmtId="0" fontId="10" fillId="2" borderId="2" xfId="0" applyFont="1" applyFill="1" applyBorder="1"/>
    <xf numFmtId="0" fontId="6" fillId="0" borderId="2" xfId="0" applyFont="1" applyBorder="1"/>
    <xf numFmtId="166" fontId="6" fillId="2" borderId="19" xfId="0" applyNumberFormat="1" applyFont="1" applyFill="1" applyBorder="1"/>
    <xf numFmtId="166" fontId="5" fillId="2" borderId="2" xfId="0" applyNumberFormat="1" applyFont="1" applyFill="1" applyBorder="1"/>
    <xf numFmtId="40" fontId="6" fillId="0" borderId="19" xfId="0" applyNumberFormat="1" applyFont="1" applyBorder="1"/>
    <xf numFmtId="4" fontId="2" fillId="0" borderId="0" xfId="0" applyNumberFormat="1" applyFont="1" applyAlignment="1">
      <alignment horizontal="center" vertical="center"/>
    </xf>
    <xf numFmtId="4" fontId="4" fillId="0" borderId="0" xfId="0" applyNumberFormat="1" applyFont="1"/>
    <xf numFmtId="4" fontId="5" fillId="2" borderId="29" xfId="0" applyNumberFormat="1" applyFont="1" applyFill="1" applyBorder="1"/>
    <xf numFmtId="4" fontId="5" fillId="2" borderId="30" xfId="0" applyNumberFormat="1" applyFont="1" applyFill="1" applyBorder="1"/>
    <xf numFmtId="4" fontId="5" fillId="2" borderId="31" xfId="0" applyNumberFormat="1" applyFont="1" applyFill="1" applyBorder="1"/>
    <xf numFmtId="44" fontId="5" fillId="2" borderId="2" xfId="0" applyNumberFormat="1" applyFont="1" applyFill="1" applyBorder="1"/>
    <xf numFmtId="4" fontId="8" fillId="0" borderId="25" xfId="0" applyNumberFormat="1" applyFont="1" applyBorder="1" applyAlignment="1" applyProtection="1">
      <alignment horizontal="center" vertical="center" wrapText="1"/>
      <protection locked="0"/>
    </xf>
    <xf numFmtId="4" fontId="8" fillId="0" borderId="19" xfId="0" applyNumberFormat="1" applyFont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33" xfId="0" applyNumberFormat="1" applyFont="1" applyFill="1" applyBorder="1"/>
    <xf numFmtId="4" fontId="8" fillId="2" borderId="9" xfId="0" applyNumberFormat="1" applyFont="1" applyFill="1" applyBorder="1" applyAlignment="1" applyProtection="1">
      <alignment horizontal="center" vertical="top" wrapText="1"/>
      <protection locked="0"/>
    </xf>
    <xf numFmtId="4" fontId="8" fillId="2" borderId="3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32" xfId="0" applyNumberFormat="1" applyFont="1" applyFill="1" applyBorder="1" applyAlignment="1" applyProtection="1">
      <alignment horizontal="center" vertical="top" wrapText="1"/>
      <protection locked="0"/>
    </xf>
    <xf numFmtId="4" fontId="5" fillId="0" borderId="19" xfId="0" applyNumberFormat="1" applyFont="1" applyBorder="1"/>
    <xf numFmtId="166" fontId="5" fillId="2" borderId="19" xfId="0" applyNumberFormat="1" applyFont="1" applyFill="1" applyBorder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4\CAJAS%20FISCALES%202024\CAJAS\CAJA%20FISCAL%20SEPTIEMBRE%202024%20ASOKIGU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4\CAJAS%20FISCALES%202024\CAJAS\CAJA%20FISCAL%20MARZ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1)"/>
      <sheetName val="Egr.01"/>
      <sheetName val="Egr.02"/>
      <sheetName val="Egr.03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21">
          <cell r="G21">
            <v>6560</v>
          </cell>
        </row>
        <row r="22">
          <cell r="G22">
            <v>660</v>
          </cell>
        </row>
        <row r="23">
          <cell r="G23">
            <v>0</v>
          </cell>
        </row>
        <row r="24">
          <cell r="G24">
            <v>2180</v>
          </cell>
        </row>
        <row r="25">
          <cell r="G25">
            <v>2120</v>
          </cell>
        </row>
        <row r="26">
          <cell r="G26">
            <v>1600</v>
          </cell>
        </row>
        <row r="27">
          <cell r="G27">
            <v>4190</v>
          </cell>
        </row>
        <row r="28">
          <cell r="G28">
            <v>1480</v>
          </cell>
        </row>
        <row r="29">
          <cell r="G29">
            <v>2900</v>
          </cell>
        </row>
        <row r="30">
          <cell r="G30">
            <v>2295</v>
          </cell>
        </row>
        <row r="31">
          <cell r="G31">
            <v>750</v>
          </cell>
        </row>
        <row r="32">
          <cell r="G32">
            <v>2620</v>
          </cell>
        </row>
        <row r="33">
          <cell r="G33">
            <v>1850</v>
          </cell>
        </row>
        <row r="34">
          <cell r="G34">
            <v>870</v>
          </cell>
        </row>
        <row r="35">
          <cell r="G35">
            <v>1230</v>
          </cell>
        </row>
        <row r="36">
          <cell r="G36">
            <v>5075</v>
          </cell>
        </row>
        <row r="37">
          <cell r="G37">
            <v>0</v>
          </cell>
        </row>
        <row r="38">
          <cell r="G38">
            <v>7095</v>
          </cell>
        </row>
        <row r="39">
          <cell r="G39">
            <v>600</v>
          </cell>
        </row>
        <row r="40">
          <cell r="G40">
            <v>1970</v>
          </cell>
        </row>
        <row r="41">
          <cell r="G41">
            <v>1460</v>
          </cell>
        </row>
        <row r="42">
          <cell r="G42">
            <v>4000</v>
          </cell>
        </row>
        <row r="43">
          <cell r="G43">
            <v>3395</v>
          </cell>
        </row>
        <row r="44">
          <cell r="G44">
            <v>1980</v>
          </cell>
        </row>
        <row r="46">
          <cell r="G46">
            <v>444.15</v>
          </cell>
        </row>
        <row r="53">
          <cell r="H53">
            <v>53.76</v>
          </cell>
        </row>
        <row r="55">
          <cell r="H55">
            <v>489.25</v>
          </cell>
        </row>
        <row r="56">
          <cell r="H56">
            <v>230</v>
          </cell>
        </row>
        <row r="57">
          <cell r="H57">
            <v>362.55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4)"/>
      <sheetName val="Forma 200-A-3 Ingresos (3)"/>
      <sheetName val="Egr.01"/>
      <sheetName val="Egr.02"/>
      <sheetName val="Egr.03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36">
          <cell r="H36">
            <v>53.76</v>
          </cell>
        </row>
        <row r="38">
          <cell r="H38">
            <v>489.25</v>
          </cell>
        </row>
        <row r="40">
          <cell r="H40">
            <v>293.55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145"/>
  <sheetViews>
    <sheetView tabSelected="1" view="pageBreakPreview" topLeftCell="A100" zoomScale="60" zoomScaleNormal="100" workbookViewId="0">
      <selection activeCell="B11" sqref="B11:L11"/>
    </sheetView>
  </sheetViews>
  <sheetFormatPr baseColWidth="10" defaultColWidth="11" defaultRowHeight="12" x14ac:dyDescent="0.2"/>
  <cols>
    <col min="1" max="1" width="6" style="2" customWidth="1"/>
    <col min="2" max="2" width="25.5703125" style="2" bestFit="1" customWidth="1"/>
    <col min="3" max="3" width="11.28515625" style="2" customWidth="1"/>
    <col min="4" max="4" width="13.5703125" style="2" customWidth="1"/>
    <col min="5" max="6" width="11.28515625" style="2" customWidth="1"/>
    <col min="7" max="7" width="12" style="2" hidden="1" customWidth="1"/>
    <col min="8" max="12" width="11.28515625" style="2" customWidth="1"/>
    <col min="13" max="13" width="3.5703125" style="2" customWidth="1"/>
    <col min="14" max="16384" width="11" style="2"/>
  </cols>
  <sheetData>
    <row r="8" spans="2:12" x14ac:dyDescent="0.2">
      <c r="B8" s="108" t="s">
        <v>119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2:12" x14ac:dyDescent="0.2">
      <c r="B9" s="108" t="s">
        <v>153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2:12" x14ac:dyDescent="0.2">
      <c r="B10" s="108" t="s">
        <v>155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2:12" x14ac:dyDescent="0.2">
      <c r="B11" s="108" t="s">
        <v>129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2:12" x14ac:dyDescent="0.2">
      <c r="B12" s="108" t="s">
        <v>151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2:12" ht="20.25" customHeight="1" x14ac:dyDescent="0.2">
      <c r="B13" s="108" t="s">
        <v>136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2:12" x14ac:dyDescent="0.2">
      <c r="B14" s="3" t="s">
        <v>137</v>
      </c>
      <c r="C14" s="3"/>
      <c r="D14" s="21"/>
      <c r="E14" s="21"/>
      <c r="F14" s="21"/>
      <c r="G14" s="21"/>
      <c r="H14" s="21"/>
      <c r="I14" s="21"/>
      <c r="J14" s="21"/>
      <c r="K14" s="21"/>
      <c r="L14" s="21"/>
    </row>
    <row r="15" spans="2:12" ht="13.5" customHeight="1" thickBot="1" x14ac:dyDescent="0.25">
      <c r="B15" s="109" t="s">
        <v>0</v>
      </c>
      <c r="C15" s="109"/>
      <c r="D15" s="33"/>
      <c r="E15" s="33"/>
      <c r="F15" s="33"/>
      <c r="G15" s="33"/>
      <c r="H15" s="33"/>
      <c r="I15" s="33"/>
      <c r="J15" s="33"/>
      <c r="K15" s="33"/>
      <c r="L15" s="33"/>
    </row>
    <row r="16" spans="2:12" ht="27.75" customHeight="1" x14ac:dyDescent="0.3">
      <c r="B16" s="106" t="s">
        <v>116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12" ht="27" customHeight="1" thickBot="1" x14ac:dyDescent="0.25">
      <c r="B17" s="35" t="s">
        <v>0</v>
      </c>
      <c r="C17" s="36">
        <v>2024</v>
      </c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8.75" thickBot="1" x14ac:dyDescent="0.25">
      <c r="B18" s="97" t="s">
        <v>2</v>
      </c>
      <c r="C18" s="98" t="s">
        <v>6</v>
      </c>
      <c r="D18" s="98" t="s">
        <v>118</v>
      </c>
      <c r="E18" s="98" t="s">
        <v>124</v>
      </c>
      <c r="F18" s="98" t="s">
        <v>125</v>
      </c>
      <c r="G18" s="98" t="s">
        <v>128</v>
      </c>
      <c r="H18" s="98" t="s">
        <v>146</v>
      </c>
      <c r="I18" s="98" t="s">
        <v>127</v>
      </c>
      <c r="J18" s="98" t="s">
        <v>131</v>
      </c>
      <c r="K18" s="98" t="s">
        <v>133</v>
      </c>
      <c r="L18" s="98" t="s">
        <v>134</v>
      </c>
    </row>
    <row r="19" spans="2:12" ht="12.75" x14ac:dyDescent="0.2">
      <c r="B19" s="99" t="s">
        <v>7</v>
      </c>
      <c r="C19" s="104"/>
      <c r="D19" s="105"/>
      <c r="E19" s="28"/>
      <c r="F19" s="28"/>
      <c r="G19" s="38">
        <f>+C19+D19+E19+F19</f>
        <v>0</v>
      </c>
      <c r="H19" s="104"/>
      <c r="I19" s="28"/>
      <c r="J19" s="28"/>
      <c r="K19" s="104"/>
      <c r="L19" s="104"/>
    </row>
    <row r="20" spans="2:12" ht="12.75" x14ac:dyDescent="0.2">
      <c r="B20" s="49" t="s">
        <v>8</v>
      </c>
      <c r="C20" s="38">
        <v>34898.01</v>
      </c>
      <c r="D20" s="89">
        <f>+C20</f>
        <v>34898.01</v>
      </c>
      <c r="E20" s="6">
        <v>38020.400000000001</v>
      </c>
      <c r="F20" s="6">
        <v>38020.400000000001</v>
      </c>
      <c r="G20" s="38">
        <f>+C20+D20+E20+F20</f>
        <v>145836.82</v>
      </c>
      <c r="H20" s="38">
        <v>38020.400000000001</v>
      </c>
      <c r="I20" s="6">
        <v>38020.400000000001</v>
      </c>
      <c r="J20" s="6">
        <v>38020.400000000001</v>
      </c>
      <c r="K20" s="38">
        <v>38020.400000000001</v>
      </c>
      <c r="L20" s="38">
        <v>38020.400000000001</v>
      </c>
    </row>
    <row r="21" spans="2:12" ht="12.75" x14ac:dyDescent="0.2">
      <c r="B21" s="49" t="s">
        <v>122</v>
      </c>
      <c r="C21" s="38"/>
      <c r="D21" s="89"/>
      <c r="E21" s="6"/>
      <c r="F21" s="6"/>
      <c r="G21" s="38">
        <f t="shared" ref="G21:G32" si="0">+C21+D21+E21+F21</f>
        <v>0</v>
      </c>
      <c r="H21" s="38"/>
      <c r="I21" s="6"/>
      <c r="J21" s="6"/>
      <c r="K21" s="38"/>
      <c r="L21" s="38"/>
    </row>
    <row r="22" spans="2:12" ht="25.5" x14ac:dyDescent="0.2">
      <c r="B22" s="49" t="s">
        <v>112</v>
      </c>
      <c r="C22" s="38"/>
      <c r="D22" s="89"/>
      <c r="E22" s="6"/>
      <c r="F22" s="6"/>
      <c r="G22" s="38">
        <f t="shared" si="0"/>
        <v>0</v>
      </c>
      <c r="H22" s="38"/>
      <c r="I22" s="6"/>
      <c r="J22" s="6"/>
      <c r="K22" s="38"/>
      <c r="L22" s="38"/>
    </row>
    <row r="23" spans="2:12" ht="25.5" x14ac:dyDescent="0.2">
      <c r="B23" s="49" t="s">
        <v>150</v>
      </c>
      <c r="C23" s="38"/>
      <c r="D23" s="89"/>
      <c r="E23" s="6"/>
      <c r="F23" s="6"/>
      <c r="G23" s="38">
        <f t="shared" si="0"/>
        <v>0</v>
      </c>
      <c r="H23" s="38"/>
      <c r="I23" s="6"/>
      <c r="J23" s="6"/>
      <c r="K23" s="38">
        <v>202127.76</v>
      </c>
      <c r="L23" s="38"/>
    </row>
    <row r="24" spans="2:12" ht="25.5" x14ac:dyDescent="0.2">
      <c r="B24" s="49" t="s">
        <v>9</v>
      </c>
      <c r="C24" s="38"/>
      <c r="D24" s="89"/>
      <c r="E24" s="6">
        <v>10080</v>
      </c>
      <c r="F24" s="6"/>
      <c r="G24" s="38">
        <f t="shared" si="0"/>
        <v>10080</v>
      </c>
      <c r="H24" s="38"/>
      <c r="I24" s="6"/>
      <c r="J24" s="6">
        <v>162240</v>
      </c>
      <c r="K24" s="38"/>
      <c r="L24" s="38"/>
    </row>
    <row r="25" spans="2:12" ht="25.5" x14ac:dyDescent="0.2">
      <c r="B25" s="49" t="s">
        <v>123</v>
      </c>
      <c r="C25" s="38"/>
      <c r="D25" s="89"/>
      <c r="E25" s="6"/>
      <c r="F25" s="6"/>
      <c r="G25" s="38">
        <f t="shared" si="0"/>
        <v>0</v>
      </c>
      <c r="H25" s="38"/>
      <c r="I25" s="6"/>
      <c r="J25" s="6"/>
      <c r="K25" s="38"/>
      <c r="L25" s="38"/>
    </row>
    <row r="26" spans="2:12" ht="25.5" x14ac:dyDescent="0.2">
      <c r="B26" s="49" t="s">
        <v>144</v>
      </c>
      <c r="C26" s="38"/>
      <c r="D26" s="89"/>
      <c r="E26" s="6"/>
      <c r="F26" s="6"/>
      <c r="G26" s="38">
        <f t="shared" si="0"/>
        <v>0</v>
      </c>
      <c r="H26" s="38"/>
      <c r="I26" s="6"/>
      <c r="J26" s="6">
        <v>1379.2</v>
      </c>
      <c r="K26" s="38"/>
      <c r="L26" s="38"/>
    </row>
    <row r="27" spans="2:12" ht="25.5" x14ac:dyDescent="0.2">
      <c r="B27" s="49" t="s">
        <v>145</v>
      </c>
      <c r="C27" s="38">
        <v>1500</v>
      </c>
      <c r="D27" s="89">
        <f>50855+88055</f>
        <v>138910</v>
      </c>
      <c r="E27" s="6">
        <f>24245+2250+300+450+2850+750+250+900</f>
        <v>31995</v>
      </c>
      <c r="F27" s="6">
        <v>88500</v>
      </c>
      <c r="G27" s="38">
        <f t="shared" si="0"/>
        <v>260905</v>
      </c>
      <c r="H27" s="38">
        <f>600+3150+245</f>
        <v>3995</v>
      </c>
      <c r="I27" s="6">
        <f>3000+120+10080</f>
        <v>13200</v>
      </c>
      <c r="J27" s="6">
        <f>3000+450+1950</f>
        <v>5400</v>
      </c>
      <c r="K27" s="38"/>
      <c r="L27" s="38">
        <f>+'[1]Forma 200-A-3 Ingresos (1)'!G21+'[1]Forma 200-A-3 Ingresos (1)'!G22+'[1]Forma 200-A-3 Ingresos (1)'!G23+'[1]Forma 200-A-3 Ingresos (1)'!G24+'[1]Forma 200-A-3 Ingresos (1)'!G25+'[1]Forma 200-A-3 Ingresos (1)'!G26+'[1]Forma 200-A-3 Ingresos (1)'!G27+'[1]Forma 200-A-3 Ingresos (1)'!G28+'[1]Forma 200-A-3 Ingresos (1)'!G29+'[1]Forma 200-A-3 Ingresos (1)'!G30+'[1]Forma 200-A-3 Ingresos (1)'!G31+'[1]Forma 200-A-3 Ingresos (1)'!G32+'[1]Forma 200-A-3 Ingresos (1)'!G33+'[1]Forma 200-A-3 Ingresos (1)'!G34+'[1]Forma 200-A-3 Ingresos (1)'!G35+'[1]Forma 200-A-3 Ingresos (1)'!G36+'[1]Forma 200-A-3 Ingresos (1)'!G37+'[1]Forma 200-A-3 Ingresos (1)'!G38+'[1]Forma 200-A-3 Ingresos (1)'!G39+'[1]Forma 200-A-3 Ingresos (1)'!G40+'[1]Forma 200-A-3 Ingresos (1)'!G41+'[1]Forma 200-A-3 Ingresos (1)'!G42+'[1]Forma 200-A-3 Ingresos (1)'!G43+'[1]Forma 200-A-3 Ingresos (1)'!G44</f>
        <v>56880</v>
      </c>
    </row>
    <row r="28" spans="2:12" ht="12.75" x14ac:dyDescent="0.2">
      <c r="B28" s="49" t="s">
        <v>10</v>
      </c>
      <c r="C28" s="38"/>
      <c r="D28" s="89">
        <v>42.08</v>
      </c>
      <c r="E28" s="6"/>
      <c r="F28" s="6"/>
      <c r="G28" s="38">
        <f t="shared" si="0"/>
        <v>42.08</v>
      </c>
      <c r="H28" s="38"/>
      <c r="I28" s="6"/>
      <c r="J28" s="6">
        <v>275.33999999999997</v>
      </c>
      <c r="K28" s="38">
        <v>418.75</v>
      </c>
      <c r="L28" s="38">
        <f>+'[1]Forma 200-A-3 Ingresos (1)'!G46</f>
        <v>444.15</v>
      </c>
    </row>
    <row r="29" spans="2:12" ht="25.5" x14ac:dyDescent="0.2">
      <c r="B29" s="49" t="s">
        <v>101</v>
      </c>
      <c r="C29" s="38">
        <v>164.22</v>
      </c>
      <c r="D29" s="89">
        <v>164.22</v>
      </c>
      <c r="E29" s="6">
        <f>4000*0.0483</f>
        <v>193.20000000000002</v>
      </c>
      <c r="F29" s="6">
        <v>193.2</v>
      </c>
      <c r="G29" s="38">
        <f t="shared" si="0"/>
        <v>714.83999999999992</v>
      </c>
      <c r="H29" s="38">
        <v>193.2</v>
      </c>
      <c r="I29" s="6">
        <v>193.2</v>
      </c>
      <c r="J29" s="6">
        <v>193.2</v>
      </c>
      <c r="K29" s="38">
        <v>193.2</v>
      </c>
      <c r="L29" s="38">
        <v>193.2</v>
      </c>
    </row>
    <row r="30" spans="2:12" ht="25.5" x14ac:dyDescent="0.2">
      <c r="B30" s="49" t="s">
        <v>11</v>
      </c>
      <c r="C30" s="38">
        <v>5345.18</v>
      </c>
      <c r="D30" s="89"/>
      <c r="E30" s="6"/>
      <c r="F30" s="6"/>
      <c r="G30" s="38">
        <f t="shared" si="0"/>
        <v>5345.18</v>
      </c>
      <c r="H30" s="38">
        <v>6073.8</v>
      </c>
      <c r="I30" s="6">
        <v>861.34</v>
      </c>
      <c r="J30" s="6"/>
      <c r="K30" s="38"/>
      <c r="L30" s="38"/>
    </row>
    <row r="31" spans="2:12" ht="12.75" x14ac:dyDescent="0.2">
      <c r="B31" s="49" t="s">
        <v>113</v>
      </c>
      <c r="C31" s="38"/>
      <c r="D31" s="89"/>
      <c r="E31" s="6"/>
      <c r="F31" s="6"/>
      <c r="G31" s="38">
        <f t="shared" si="0"/>
        <v>0</v>
      </c>
      <c r="H31" s="38"/>
      <c r="I31" s="6"/>
      <c r="J31" s="6"/>
      <c r="K31" s="38">
        <f>-3094.93</f>
        <v>-3094.93</v>
      </c>
      <c r="L31" s="38"/>
    </row>
    <row r="32" spans="2:12" ht="12.75" x14ac:dyDescent="0.2">
      <c r="B32" s="49" t="s">
        <v>102</v>
      </c>
      <c r="C32" s="38">
        <v>605.70000000000005</v>
      </c>
      <c r="D32" s="89">
        <v>2071.37</v>
      </c>
      <c r="E32" s="6">
        <f>+'[2]Forma 200-A-3 Ingresos (4)'!H38+'[2]Forma 200-A-3 Ingresos (4)'!H40+'[2]Forma 200-A-3 Ingresos (4)'!H36</f>
        <v>836.56</v>
      </c>
      <c r="F32" s="6">
        <v>1539.1</v>
      </c>
      <c r="G32" s="38">
        <f t="shared" si="0"/>
        <v>5052.7299999999996</v>
      </c>
      <c r="H32" s="38">
        <v>836.56</v>
      </c>
      <c r="I32" s="6">
        <f>1081.8+53.76</f>
        <v>1135.56</v>
      </c>
      <c r="J32" s="96">
        <f>1029.76-13.8</f>
        <v>1015.96</v>
      </c>
      <c r="K32" s="38">
        <v>836.56</v>
      </c>
      <c r="L32" s="38">
        <f>+'[1]Forma 200-A-3 Ingresos (1)'!H53+'[1]Forma 200-A-3 Ingresos (1)'!H55+'[1]Forma 200-A-3 Ingresos (1)'!H56+'[1]Forma 200-A-3 Ingresos (1)'!H57</f>
        <v>1135.56</v>
      </c>
    </row>
    <row r="33" spans="2:12" ht="13.5" thickBot="1" x14ac:dyDescent="0.25">
      <c r="B33" s="70" t="s">
        <v>12</v>
      </c>
      <c r="C33" s="52">
        <f>SUM(C19:C32)</f>
        <v>42513.11</v>
      </c>
      <c r="D33" s="52">
        <f>SUM(D19:D32)</f>
        <v>176085.68</v>
      </c>
      <c r="E33" s="52">
        <f t="shared" ref="E33:F33" si="1">SUM(E19:E32)</f>
        <v>81125.159999999989</v>
      </c>
      <c r="F33" s="52">
        <f t="shared" si="1"/>
        <v>128252.7</v>
      </c>
      <c r="G33" s="52">
        <f>SUM(G19:G32)</f>
        <v>427976.65</v>
      </c>
      <c r="H33" s="52">
        <f>SUM(H19:H32)</f>
        <v>49118.96</v>
      </c>
      <c r="I33" s="52">
        <f t="shared" ref="I33:J33" si="2">SUM(I19:I32)</f>
        <v>53410.499999999993</v>
      </c>
      <c r="J33" s="52">
        <f t="shared" si="2"/>
        <v>208524.1</v>
      </c>
      <c r="K33" s="52">
        <f>SUM(K19:K32)</f>
        <v>238501.74000000002</v>
      </c>
      <c r="L33" s="52">
        <f>SUM(L20:L32)</f>
        <v>96673.309999999983</v>
      </c>
    </row>
    <row r="34" spans="2:12" ht="12.75" x14ac:dyDescent="0.2">
      <c r="B34" s="39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2:12" ht="12.75" x14ac:dyDescent="0.2">
      <c r="B35" s="39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2:12" x14ac:dyDescent="0.2">
      <c r="B36" s="108"/>
      <c r="C36" s="108"/>
      <c r="D36" s="21"/>
      <c r="E36" s="21"/>
      <c r="F36" s="21"/>
      <c r="G36" s="21"/>
      <c r="H36" s="91"/>
      <c r="I36" s="21"/>
      <c r="J36" s="21"/>
      <c r="K36" s="21"/>
      <c r="L36" s="21"/>
    </row>
    <row r="37" spans="2:12" x14ac:dyDescent="0.2">
      <c r="B37" s="108"/>
      <c r="C37" s="108"/>
      <c r="D37" s="21"/>
      <c r="E37" s="21"/>
      <c r="F37" s="21"/>
      <c r="G37" s="21"/>
      <c r="H37" s="21"/>
      <c r="I37" s="21"/>
      <c r="J37" s="21"/>
      <c r="K37" s="21"/>
      <c r="L37" s="21"/>
    </row>
    <row r="38" spans="2:12" x14ac:dyDescent="0.2">
      <c r="B38" s="108"/>
      <c r="C38" s="108"/>
      <c r="D38" s="21"/>
      <c r="E38" s="21"/>
      <c r="F38" s="21"/>
      <c r="G38" s="21"/>
      <c r="H38" s="21"/>
      <c r="I38" s="21"/>
      <c r="J38" s="21"/>
      <c r="K38" s="21"/>
      <c r="L38" s="21"/>
    </row>
    <row r="39" spans="2:12" x14ac:dyDescent="0.2">
      <c r="B39" s="108"/>
      <c r="C39" s="108"/>
      <c r="D39" s="21"/>
      <c r="E39" s="21"/>
      <c r="F39" s="21"/>
      <c r="G39" s="21"/>
      <c r="H39" s="21"/>
      <c r="I39" s="21"/>
      <c r="J39" s="21"/>
      <c r="K39" s="21"/>
      <c r="L39" s="21"/>
    </row>
    <row r="40" spans="2:12" x14ac:dyDescent="0.2">
      <c r="B40" s="108"/>
      <c r="C40" s="108"/>
      <c r="D40" s="21"/>
      <c r="E40" s="21"/>
      <c r="F40" s="21"/>
      <c r="G40" s="21"/>
      <c r="H40" s="21"/>
      <c r="I40" s="21"/>
      <c r="J40" s="21"/>
      <c r="K40" s="21"/>
      <c r="L40" s="21"/>
    </row>
    <row r="41" spans="2:12" x14ac:dyDescent="0.2">
      <c r="B41" s="108"/>
      <c r="C41" s="108"/>
      <c r="D41" s="21"/>
      <c r="E41" s="21"/>
      <c r="F41" s="21"/>
      <c r="G41" s="21"/>
      <c r="H41" s="21"/>
      <c r="I41" s="21"/>
      <c r="J41" s="21"/>
      <c r="K41" s="21"/>
      <c r="L41" s="21"/>
    </row>
    <row r="42" spans="2:12" x14ac:dyDescent="0.2">
      <c r="B42" s="108"/>
      <c r="C42" s="108"/>
      <c r="D42" s="21"/>
      <c r="E42" s="21"/>
      <c r="F42" s="21"/>
      <c r="G42" s="21"/>
      <c r="H42" s="21"/>
      <c r="I42" s="21"/>
      <c r="J42" s="21"/>
      <c r="K42" s="21"/>
      <c r="L42" s="21"/>
    </row>
    <row r="43" spans="2:12" x14ac:dyDescent="0.2">
      <c r="B43" s="108"/>
      <c r="C43" s="108"/>
      <c r="D43" s="21"/>
      <c r="E43" s="21"/>
      <c r="F43" s="21"/>
      <c r="G43" s="21"/>
      <c r="H43" s="21"/>
      <c r="I43" s="21"/>
      <c r="J43" s="21"/>
      <c r="K43" s="21"/>
      <c r="L43" s="21"/>
    </row>
    <row r="44" spans="2:12" x14ac:dyDescent="0.2">
      <c r="B44" s="108" t="s">
        <v>119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</row>
    <row r="45" spans="2:12" x14ac:dyDescent="0.2">
      <c r="B45" s="108" t="s">
        <v>120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</row>
    <row r="46" spans="2:12" x14ac:dyDescent="0.2">
      <c r="B46" s="108" t="s">
        <v>153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</row>
    <row r="47" spans="2:12" x14ac:dyDescent="0.2">
      <c r="B47" s="108" t="s">
        <v>156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2">
      <c r="B48" s="108" t="s">
        <v>130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  <row r="49" spans="1:12" x14ac:dyDescent="0.2">
      <c r="B49" s="108" t="str">
        <f>+B12</f>
        <v>FECHA ACTUALIZADA: SEPTIEMBRE 2024.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</row>
    <row r="50" spans="1:12" x14ac:dyDescent="0.2">
      <c r="B50" s="108" t="s">
        <v>136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</row>
    <row r="51" spans="1:12" x14ac:dyDescent="0.2">
      <c r="A51" s="40"/>
      <c r="B51" s="107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3.5" thickBot="1" x14ac:dyDescent="0.25">
      <c r="A52" s="41"/>
      <c r="B52" s="35"/>
      <c r="C52" s="36">
        <v>2024</v>
      </c>
      <c r="D52" s="36"/>
      <c r="E52" s="36"/>
      <c r="F52" s="36"/>
      <c r="G52" s="36"/>
      <c r="H52" s="36"/>
      <c r="I52" s="36"/>
      <c r="J52" s="36"/>
      <c r="K52" s="36"/>
      <c r="L52" s="36"/>
    </row>
    <row r="53" spans="1:12" ht="27" customHeight="1" thickBot="1" x14ac:dyDescent="0.25">
      <c r="A53" s="42"/>
      <c r="B53" s="45" t="s">
        <v>2</v>
      </c>
      <c r="C53" s="47" t="s">
        <v>6</v>
      </c>
      <c r="D53" s="55" t="s">
        <v>118</v>
      </c>
      <c r="E53" s="47" t="s">
        <v>124</v>
      </c>
      <c r="F53" s="43" t="s">
        <v>125</v>
      </c>
      <c r="G53" s="37" t="s">
        <v>128</v>
      </c>
      <c r="H53" s="48" t="s">
        <v>126</v>
      </c>
      <c r="I53" s="56" t="s">
        <v>127</v>
      </c>
      <c r="J53" s="56" t="s">
        <v>131</v>
      </c>
      <c r="K53" s="43" t="s">
        <v>133</v>
      </c>
      <c r="L53" s="43" t="s">
        <v>134</v>
      </c>
    </row>
    <row r="54" spans="1:12" x14ac:dyDescent="0.2">
      <c r="A54" s="72">
        <v>0</v>
      </c>
      <c r="B54" s="73" t="s">
        <v>14</v>
      </c>
      <c r="C54" s="58"/>
      <c r="D54" s="88"/>
      <c r="E54" s="58"/>
      <c r="F54" s="90"/>
      <c r="G54" s="58"/>
      <c r="H54" s="90"/>
      <c r="I54" s="58"/>
      <c r="J54" s="58"/>
      <c r="K54" s="90"/>
      <c r="L54" s="90"/>
    </row>
    <row r="55" spans="1:12" x14ac:dyDescent="0.2">
      <c r="A55" s="74">
        <v>11</v>
      </c>
      <c r="B55" s="75" t="s">
        <v>15</v>
      </c>
      <c r="C55" s="53">
        <v>3400</v>
      </c>
      <c r="D55" s="84">
        <v>3400</v>
      </c>
      <c r="E55" s="53">
        <v>4000</v>
      </c>
      <c r="F55" s="17">
        <v>4000</v>
      </c>
      <c r="G55" s="53">
        <f>+C55+D55+E55+F55</f>
        <v>14800</v>
      </c>
      <c r="H55" s="17">
        <v>4000</v>
      </c>
      <c r="I55" s="53">
        <v>4000</v>
      </c>
      <c r="J55" s="53">
        <v>4000</v>
      </c>
      <c r="K55" s="17">
        <v>4000</v>
      </c>
      <c r="L55" s="17">
        <v>4000</v>
      </c>
    </row>
    <row r="56" spans="1:12" ht="22.5" x14ac:dyDescent="0.2">
      <c r="A56" s="74">
        <v>15</v>
      </c>
      <c r="B56" s="75" t="s">
        <v>16</v>
      </c>
      <c r="C56" s="53">
        <v>250</v>
      </c>
      <c r="D56" s="84">
        <v>250</v>
      </c>
      <c r="E56" s="53">
        <v>250</v>
      </c>
      <c r="F56" s="17">
        <v>250</v>
      </c>
      <c r="G56" s="53">
        <f t="shared" ref="G56:G120" si="3">+C56+D56+E56+F56</f>
        <v>1000</v>
      </c>
      <c r="H56" s="17">
        <v>250</v>
      </c>
      <c r="I56" s="53">
        <v>250</v>
      </c>
      <c r="J56" s="53">
        <v>250</v>
      </c>
      <c r="K56" s="17">
        <v>250</v>
      </c>
      <c r="L56" s="17">
        <v>250</v>
      </c>
    </row>
    <row r="57" spans="1:12" x14ac:dyDescent="0.2">
      <c r="A57" s="74">
        <v>22</v>
      </c>
      <c r="B57" s="75" t="s">
        <v>17</v>
      </c>
      <c r="C57" s="53"/>
      <c r="D57" s="84"/>
      <c r="E57" s="53"/>
      <c r="F57" s="17"/>
      <c r="G57" s="53">
        <f t="shared" si="3"/>
        <v>0</v>
      </c>
      <c r="H57" s="17"/>
      <c r="I57" s="53"/>
      <c r="J57" s="53"/>
      <c r="K57" s="17"/>
      <c r="L57" s="17"/>
    </row>
    <row r="58" spans="1:12" ht="22.5" x14ac:dyDescent="0.2">
      <c r="A58" s="74">
        <v>27</v>
      </c>
      <c r="B58" s="75" t="s">
        <v>18</v>
      </c>
      <c r="C58" s="53"/>
      <c r="D58" s="84"/>
      <c r="E58" s="53"/>
      <c r="F58" s="17"/>
      <c r="G58" s="53">
        <f t="shared" si="3"/>
        <v>0</v>
      </c>
      <c r="H58" s="17"/>
      <c r="I58" s="53"/>
      <c r="J58" s="53"/>
      <c r="K58" s="17"/>
      <c r="L58" s="17"/>
    </row>
    <row r="59" spans="1:12" x14ac:dyDescent="0.2">
      <c r="A59" s="74">
        <v>51</v>
      </c>
      <c r="B59" s="75" t="s">
        <v>19</v>
      </c>
      <c r="C59" s="53">
        <f>866.94</f>
        <v>866.94</v>
      </c>
      <c r="D59" s="84">
        <v>-866.94</v>
      </c>
      <c r="E59" s="53"/>
      <c r="F59" s="53"/>
      <c r="G59" s="53">
        <f t="shared" si="3"/>
        <v>0</v>
      </c>
      <c r="H59" s="17">
        <f>346.78+346.78+346.78+362.78+362.78+426.8+426.8</f>
        <v>2619.5</v>
      </c>
      <c r="I59" s="53">
        <v>426.8</v>
      </c>
      <c r="J59" s="53">
        <v>426.8</v>
      </c>
      <c r="K59" s="17">
        <v>426.8</v>
      </c>
      <c r="L59" s="17">
        <v>426.8</v>
      </c>
    </row>
    <row r="60" spans="1:12" x14ac:dyDescent="0.2">
      <c r="A60" s="74">
        <v>61</v>
      </c>
      <c r="B60" s="75" t="s">
        <v>20</v>
      </c>
      <c r="C60" s="53">
        <v>7000</v>
      </c>
      <c r="D60" s="84">
        <f>3805+3805+2175+2175</f>
        <v>11960</v>
      </c>
      <c r="E60" s="53">
        <f>3805+3805+2175</f>
        <v>9785</v>
      </c>
      <c r="F60" s="53">
        <v>9785</v>
      </c>
      <c r="G60" s="53">
        <f>+C60+D60+E60+F60</f>
        <v>38530</v>
      </c>
      <c r="H60" s="53">
        <f>3805+3805+2175</f>
        <v>9785</v>
      </c>
      <c r="I60" s="53">
        <f>3805+3805+2175</f>
        <v>9785</v>
      </c>
      <c r="J60" s="53">
        <f>3805+3805+2175</f>
        <v>9785</v>
      </c>
      <c r="K60" s="17">
        <f>3805+3805+2175</f>
        <v>9785</v>
      </c>
      <c r="L60" s="17">
        <f>3805+2175+3805</f>
        <v>9785</v>
      </c>
    </row>
    <row r="61" spans="1:12" x14ac:dyDescent="0.2">
      <c r="A61" s="74">
        <v>63</v>
      </c>
      <c r="B61" s="75" t="s">
        <v>138</v>
      </c>
      <c r="C61" s="53">
        <v>4500</v>
      </c>
      <c r="D61" s="84">
        <v>4500</v>
      </c>
      <c r="E61" s="53">
        <v>4500</v>
      </c>
      <c r="F61" s="53">
        <v>4500</v>
      </c>
      <c r="G61" s="53">
        <f t="shared" si="3"/>
        <v>18000</v>
      </c>
      <c r="H61" s="17">
        <v>4500</v>
      </c>
      <c r="I61" s="53">
        <v>4500</v>
      </c>
      <c r="J61" s="53">
        <v>4500</v>
      </c>
      <c r="K61" s="17">
        <v>4500</v>
      </c>
      <c r="L61" s="17">
        <v>4500</v>
      </c>
    </row>
    <row r="62" spans="1:12" x14ac:dyDescent="0.2">
      <c r="A62" s="74" t="s">
        <v>73</v>
      </c>
      <c r="B62" s="75" t="s">
        <v>21</v>
      </c>
      <c r="C62" s="53"/>
      <c r="D62" s="84"/>
      <c r="E62" s="53"/>
      <c r="F62" s="53"/>
      <c r="G62" s="53">
        <f t="shared" si="3"/>
        <v>0</v>
      </c>
      <c r="H62" s="17"/>
      <c r="I62" s="53"/>
      <c r="J62" s="53"/>
      <c r="K62" s="17"/>
      <c r="L62" s="17"/>
    </row>
    <row r="63" spans="1:12" x14ac:dyDescent="0.2">
      <c r="A63" s="74">
        <v>72</v>
      </c>
      <c r="B63" s="75" t="s">
        <v>22</v>
      </c>
      <c r="C63" s="53"/>
      <c r="D63" s="84"/>
      <c r="E63" s="53"/>
      <c r="F63" s="53"/>
      <c r="G63" s="53">
        <f t="shared" si="3"/>
        <v>0</v>
      </c>
      <c r="H63" s="17"/>
      <c r="I63" s="53"/>
      <c r="J63" s="53">
        <v>3523.59</v>
      </c>
      <c r="K63" s="17"/>
      <c r="L63" s="17"/>
    </row>
    <row r="64" spans="1:12" x14ac:dyDescent="0.2">
      <c r="A64" s="77" t="s">
        <v>74</v>
      </c>
      <c r="B64" s="75" t="s">
        <v>23</v>
      </c>
      <c r="C64" s="53"/>
      <c r="D64" s="84">
        <v>375</v>
      </c>
      <c r="E64" s="53"/>
      <c r="F64" s="53"/>
      <c r="G64" s="53">
        <f t="shared" si="3"/>
        <v>375</v>
      </c>
      <c r="H64" s="17">
        <v>550</v>
      </c>
      <c r="I64" s="53"/>
      <c r="J64" s="53">
        <v>750</v>
      </c>
      <c r="K64" s="17"/>
      <c r="L64" s="17"/>
    </row>
    <row r="65" spans="1:12" x14ac:dyDescent="0.2">
      <c r="A65" s="78" t="s">
        <v>75</v>
      </c>
      <c r="B65" s="79" t="s">
        <v>24</v>
      </c>
      <c r="C65" s="53"/>
      <c r="D65" s="84"/>
      <c r="E65" s="53"/>
      <c r="F65" s="53"/>
      <c r="G65" s="53">
        <f t="shared" si="3"/>
        <v>0</v>
      </c>
      <c r="H65" s="17"/>
      <c r="I65" s="53"/>
      <c r="J65" s="53"/>
      <c r="K65" s="17"/>
      <c r="L65" s="17"/>
    </row>
    <row r="66" spans="1:12" x14ac:dyDescent="0.2">
      <c r="A66" s="74">
        <v>111</v>
      </c>
      <c r="B66" s="75" t="s">
        <v>25</v>
      </c>
      <c r="C66" s="53"/>
      <c r="D66" s="84"/>
      <c r="E66" s="53"/>
      <c r="F66" s="53"/>
      <c r="G66" s="53">
        <f t="shared" si="3"/>
        <v>0</v>
      </c>
      <c r="H66" s="17"/>
      <c r="I66" s="53"/>
      <c r="J66" s="53"/>
      <c r="K66" s="17"/>
      <c r="L66" s="17"/>
    </row>
    <row r="67" spans="1:12" x14ac:dyDescent="0.2">
      <c r="A67" s="74">
        <v>112</v>
      </c>
      <c r="B67" s="75" t="s">
        <v>26</v>
      </c>
      <c r="C67" s="53"/>
      <c r="D67" s="84"/>
      <c r="E67" s="53"/>
      <c r="F67" s="53"/>
      <c r="G67" s="53">
        <f t="shared" si="3"/>
        <v>0</v>
      </c>
      <c r="H67" s="17"/>
      <c r="I67" s="53"/>
      <c r="J67" s="53"/>
      <c r="K67" s="17"/>
      <c r="L67" s="17"/>
    </row>
    <row r="68" spans="1:12" x14ac:dyDescent="0.2">
      <c r="A68" s="74">
        <v>113</v>
      </c>
      <c r="B68" s="75" t="s">
        <v>27</v>
      </c>
      <c r="C68" s="53"/>
      <c r="D68" s="84"/>
      <c r="E68" s="53"/>
      <c r="F68" s="53"/>
      <c r="G68" s="53">
        <f t="shared" si="3"/>
        <v>0</v>
      </c>
      <c r="H68" s="17"/>
      <c r="I68" s="53"/>
      <c r="J68" s="53"/>
      <c r="K68" s="17"/>
      <c r="L68" s="17"/>
    </row>
    <row r="69" spans="1:12" x14ac:dyDescent="0.2">
      <c r="A69" s="74">
        <v>114</v>
      </c>
      <c r="B69" s="75" t="s">
        <v>28</v>
      </c>
      <c r="C69" s="53"/>
      <c r="D69" s="84"/>
      <c r="E69" s="53"/>
      <c r="F69" s="53"/>
      <c r="G69" s="53">
        <f t="shared" si="3"/>
        <v>0</v>
      </c>
      <c r="H69" s="17"/>
      <c r="I69" s="53"/>
      <c r="J69" s="53"/>
      <c r="K69" s="17"/>
      <c r="L69" s="17"/>
    </row>
    <row r="70" spans="1:12" ht="22.5" x14ac:dyDescent="0.2">
      <c r="A70" s="74">
        <v>115</v>
      </c>
      <c r="B70" s="75" t="s">
        <v>29</v>
      </c>
      <c r="C70" s="53"/>
      <c r="D70" s="84"/>
      <c r="E70" s="53"/>
      <c r="F70" s="53"/>
      <c r="G70" s="53">
        <f t="shared" si="3"/>
        <v>0</v>
      </c>
      <c r="H70" s="17">
        <v>300</v>
      </c>
      <c r="I70" s="53"/>
      <c r="J70" s="53"/>
      <c r="K70" s="17"/>
      <c r="L70" s="17"/>
    </row>
    <row r="71" spans="1:12" x14ac:dyDescent="0.2">
      <c r="A71" s="74">
        <v>121</v>
      </c>
      <c r="B71" s="75" t="s">
        <v>30</v>
      </c>
      <c r="C71" s="53"/>
      <c r="D71" s="84"/>
      <c r="E71" s="53"/>
      <c r="F71" s="53"/>
      <c r="G71" s="53">
        <f t="shared" si="3"/>
        <v>0</v>
      </c>
      <c r="H71" s="17"/>
      <c r="I71" s="53"/>
      <c r="J71" s="53">
        <v>2050.1999999999998</v>
      </c>
      <c r="K71" s="17"/>
      <c r="L71" s="17"/>
    </row>
    <row r="72" spans="1:12" x14ac:dyDescent="0.2">
      <c r="A72" s="74">
        <v>122</v>
      </c>
      <c r="B72" s="75" t="s">
        <v>111</v>
      </c>
      <c r="C72" s="53"/>
      <c r="D72" s="84"/>
      <c r="E72" s="53"/>
      <c r="F72" s="53"/>
      <c r="G72" s="53">
        <f t="shared" si="3"/>
        <v>0</v>
      </c>
      <c r="H72" s="17"/>
      <c r="I72" s="53"/>
      <c r="J72" s="53"/>
      <c r="K72" s="17"/>
      <c r="L72" s="17"/>
    </row>
    <row r="73" spans="1:12" x14ac:dyDescent="0.2">
      <c r="A73" s="54">
        <v>131</v>
      </c>
      <c r="B73" s="44" t="s">
        <v>31</v>
      </c>
      <c r="C73" s="53"/>
      <c r="D73" s="84"/>
      <c r="E73" s="17"/>
      <c r="F73" s="17"/>
      <c r="G73" s="53">
        <f t="shared" si="3"/>
        <v>0</v>
      </c>
      <c r="H73" s="17"/>
      <c r="I73" s="17"/>
      <c r="J73" s="17"/>
      <c r="K73" s="17"/>
      <c r="L73" s="17">
        <v>11519.2</v>
      </c>
    </row>
    <row r="74" spans="1:12" x14ac:dyDescent="0.2">
      <c r="A74" s="74" t="s">
        <v>76</v>
      </c>
      <c r="B74" s="75" t="s">
        <v>32</v>
      </c>
      <c r="C74" s="53"/>
      <c r="D74" s="84"/>
      <c r="E74" s="53"/>
      <c r="F74" s="53"/>
      <c r="G74" s="53">
        <f t="shared" si="3"/>
        <v>0</v>
      </c>
      <c r="H74" s="17"/>
      <c r="I74" s="53"/>
      <c r="J74" s="53">
        <f>12480+12232.82+12176.62+12176.62+12480+11203.87+12176.62+12176.62+12174.74+12480+12480+12480+12480+261.07+261.07+247.18+303.38+303.38+305.26+1276.13</f>
        <v>162155.38000000003</v>
      </c>
      <c r="K74" s="87">
        <f>6026.27+6026.27+6026.27+6026.27+6026.27+6026.27+6026.27+6026.27+6026.27+6026.27+6026.27+6026.27+6026.27+6026.27</f>
        <v>84367.780000000028</v>
      </c>
      <c r="L74" s="87"/>
    </row>
    <row r="75" spans="1:12" x14ac:dyDescent="0.2">
      <c r="A75" s="74" t="s">
        <v>77</v>
      </c>
      <c r="B75" s="75" t="s">
        <v>33</v>
      </c>
      <c r="C75" s="53"/>
      <c r="D75" s="84">
        <v>5200</v>
      </c>
      <c r="E75" s="53"/>
      <c r="F75" s="53">
        <v>5200</v>
      </c>
      <c r="G75" s="53">
        <f t="shared" si="3"/>
        <v>10400</v>
      </c>
      <c r="H75" s="17"/>
      <c r="I75" s="53"/>
      <c r="J75" s="53"/>
      <c r="K75" s="17"/>
      <c r="L75" s="17">
        <v>4680</v>
      </c>
    </row>
    <row r="76" spans="1:12" ht="22.5" x14ac:dyDescent="0.2">
      <c r="A76" s="74">
        <v>151</v>
      </c>
      <c r="B76" s="75" t="s">
        <v>34</v>
      </c>
      <c r="C76" s="53"/>
      <c r="D76" s="84"/>
      <c r="E76" s="53"/>
      <c r="F76" s="53"/>
      <c r="G76" s="53">
        <f t="shared" si="3"/>
        <v>0</v>
      </c>
      <c r="H76" s="17"/>
      <c r="I76" s="53"/>
      <c r="J76" s="53"/>
      <c r="K76" s="17"/>
      <c r="L76" s="17"/>
    </row>
    <row r="77" spans="1:12" ht="22.5" x14ac:dyDescent="0.2">
      <c r="A77" s="74">
        <v>152</v>
      </c>
      <c r="B77" s="75" t="s">
        <v>35</v>
      </c>
      <c r="C77" s="53"/>
      <c r="D77" s="84"/>
      <c r="E77" s="53"/>
      <c r="F77" s="53"/>
      <c r="G77" s="53">
        <f t="shared" si="3"/>
        <v>0</v>
      </c>
      <c r="H77" s="17"/>
      <c r="I77" s="53"/>
      <c r="J77" s="53"/>
      <c r="K77" s="17"/>
      <c r="L77" s="17"/>
    </row>
    <row r="78" spans="1:12" ht="22.5" x14ac:dyDescent="0.2">
      <c r="A78" s="74">
        <v>153</v>
      </c>
      <c r="B78" s="75" t="s">
        <v>36</v>
      </c>
      <c r="C78" s="53"/>
      <c r="D78" s="84"/>
      <c r="E78" s="53"/>
      <c r="F78" s="53"/>
      <c r="G78" s="53">
        <f t="shared" si="3"/>
        <v>0</v>
      </c>
      <c r="H78" s="17"/>
      <c r="I78" s="53"/>
      <c r="J78" s="53"/>
      <c r="K78" s="17"/>
      <c r="L78" s="17"/>
    </row>
    <row r="79" spans="1:12" ht="22.5" x14ac:dyDescent="0.2">
      <c r="A79" s="74">
        <v>155</v>
      </c>
      <c r="B79" s="75" t="s">
        <v>37</v>
      </c>
      <c r="C79" s="53"/>
      <c r="D79" s="84"/>
      <c r="E79" s="53"/>
      <c r="F79" s="53"/>
      <c r="G79" s="53">
        <f t="shared" si="3"/>
        <v>0</v>
      </c>
      <c r="H79" s="17"/>
      <c r="I79" s="53"/>
      <c r="J79" s="53"/>
      <c r="K79" s="17"/>
      <c r="L79" s="17"/>
    </row>
    <row r="80" spans="1:12" ht="22.5" x14ac:dyDescent="0.2">
      <c r="A80" s="74">
        <v>156</v>
      </c>
      <c r="B80" s="75" t="s">
        <v>132</v>
      </c>
      <c r="C80" s="53"/>
      <c r="D80" s="84"/>
      <c r="E80" s="53"/>
      <c r="F80" s="53"/>
      <c r="G80" s="53">
        <f t="shared" si="3"/>
        <v>0</v>
      </c>
      <c r="H80" s="17"/>
      <c r="I80" s="53"/>
      <c r="J80" s="53"/>
      <c r="K80" s="17"/>
      <c r="L80" s="17"/>
    </row>
    <row r="81" spans="1:12" ht="22.5" x14ac:dyDescent="0.2">
      <c r="A81" s="74">
        <v>161</v>
      </c>
      <c r="B81" s="75" t="s">
        <v>78</v>
      </c>
      <c r="C81" s="53"/>
      <c r="D81" s="84"/>
      <c r="E81" s="53"/>
      <c r="F81" s="53"/>
      <c r="G81" s="53">
        <f t="shared" si="3"/>
        <v>0</v>
      </c>
      <c r="H81" s="17"/>
      <c r="I81" s="53"/>
      <c r="J81" s="53"/>
      <c r="K81" s="17"/>
      <c r="L81" s="17"/>
    </row>
    <row r="82" spans="1:12" ht="22.5" x14ac:dyDescent="0.2">
      <c r="A82" s="74">
        <v>164</v>
      </c>
      <c r="B82" s="75" t="s">
        <v>38</v>
      </c>
      <c r="C82" s="53"/>
      <c r="D82" s="84"/>
      <c r="E82" s="53"/>
      <c r="F82" s="53"/>
      <c r="G82" s="53">
        <f t="shared" si="3"/>
        <v>0</v>
      </c>
      <c r="H82" s="17"/>
      <c r="I82" s="53"/>
      <c r="J82" s="53"/>
      <c r="K82" s="17"/>
      <c r="L82" s="17"/>
    </row>
    <row r="83" spans="1:12" ht="22.5" x14ac:dyDescent="0.2">
      <c r="A83" s="74" t="s">
        <v>79</v>
      </c>
      <c r="B83" s="75" t="s">
        <v>39</v>
      </c>
      <c r="C83" s="53"/>
      <c r="D83" s="84"/>
      <c r="E83" s="53"/>
      <c r="F83" s="53"/>
      <c r="G83" s="53">
        <f t="shared" si="3"/>
        <v>0</v>
      </c>
      <c r="H83" s="17"/>
      <c r="I83" s="53"/>
      <c r="J83" s="53"/>
      <c r="K83" s="17"/>
      <c r="L83" s="17"/>
    </row>
    <row r="84" spans="1:12" ht="22.5" x14ac:dyDescent="0.2">
      <c r="A84" s="74">
        <v>169</v>
      </c>
      <c r="B84" s="75" t="s">
        <v>80</v>
      </c>
      <c r="C84" s="53"/>
      <c r="D84" s="84"/>
      <c r="E84" s="53"/>
      <c r="F84" s="53"/>
      <c r="G84" s="53">
        <f t="shared" si="3"/>
        <v>0</v>
      </c>
      <c r="H84" s="17"/>
      <c r="I84" s="53"/>
      <c r="J84" s="53"/>
      <c r="K84" s="17"/>
      <c r="L84" s="17"/>
    </row>
    <row r="85" spans="1:12" x14ac:dyDescent="0.2">
      <c r="A85" s="74">
        <v>182</v>
      </c>
      <c r="B85" s="75" t="s">
        <v>81</v>
      </c>
      <c r="C85" s="53"/>
      <c r="D85" s="84"/>
      <c r="E85" s="53"/>
      <c r="F85" s="53"/>
      <c r="G85" s="53">
        <f t="shared" si="3"/>
        <v>0</v>
      </c>
      <c r="H85" s="17"/>
      <c r="I85" s="53"/>
      <c r="J85" s="53"/>
      <c r="K85" s="17"/>
      <c r="L85" s="17"/>
    </row>
    <row r="86" spans="1:12" x14ac:dyDescent="0.2">
      <c r="A86" s="74">
        <v>183</v>
      </c>
      <c r="B86" s="75" t="s">
        <v>40</v>
      </c>
      <c r="C86" s="53"/>
      <c r="D86" s="84"/>
      <c r="E86" s="53"/>
      <c r="F86" s="53"/>
      <c r="G86" s="53">
        <f t="shared" si="3"/>
        <v>0</v>
      </c>
      <c r="H86" s="17"/>
      <c r="I86" s="53"/>
      <c r="J86" s="53"/>
      <c r="K86" s="17"/>
      <c r="L86" s="17"/>
    </row>
    <row r="87" spans="1:12" x14ac:dyDescent="0.2">
      <c r="A87" s="74">
        <v>185</v>
      </c>
      <c r="B87" s="75" t="s">
        <v>41</v>
      </c>
      <c r="C87" s="53"/>
      <c r="D87" s="84"/>
      <c r="E87" s="53"/>
      <c r="F87" s="53"/>
      <c r="G87" s="53">
        <f t="shared" si="3"/>
        <v>0</v>
      </c>
      <c r="H87" s="17"/>
      <c r="I87" s="53"/>
      <c r="J87" s="53"/>
      <c r="K87" s="17"/>
      <c r="L87" s="17"/>
    </row>
    <row r="88" spans="1:12" ht="22.5" x14ac:dyDescent="0.2">
      <c r="A88" s="74">
        <v>186</v>
      </c>
      <c r="B88" s="75" t="s">
        <v>42</v>
      </c>
      <c r="C88" s="53">
        <v>914.5</v>
      </c>
      <c r="D88" s="84">
        <f>6000+1792+918.4+560+914.5</f>
        <v>10184.9</v>
      </c>
      <c r="E88" s="53">
        <f>914.5+900</f>
        <v>1814.5</v>
      </c>
      <c r="F88" s="53">
        <v>8451.25</v>
      </c>
      <c r="G88" s="53">
        <f t="shared" si="3"/>
        <v>21365.15</v>
      </c>
      <c r="H88" s="17">
        <f>560+914.5+900</f>
        <v>2374.5</v>
      </c>
      <c r="I88" s="53">
        <f>900+914.5</f>
        <v>1814.5</v>
      </c>
      <c r="J88" s="53">
        <f>800+450+914.5</f>
        <v>2164.5</v>
      </c>
      <c r="K88" s="17">
        <f>450+1814.5</f>
        <v>2264.5</v>
      </c>
      <c r="L88" s="17">
        <f>560+2340+3683.75+450+900</f>
        <v>7933.75</v>
      </c>
    </row>
    <row r="89" spans="1:12" ht="22.5" x14ac:dyDescent="0.2">
      <c r="A89" s="74">
        <v>187</v>
      </c>
      <c r="B89" s="75" t="s">
        <v>139</v>
      </c>
      <c r="C89" s="53"/>
      <c r="D89" s="84"/>
      <c r="E89" s="53"/>
      <c r="F89" s="53"/>
      <c r="G89" s="53">
        <f t="shared" si="3"/>
        <v>0</v>
      </c>
      <c r="H89" s="17"/>
      <c r="I89" s="53"/>
      <c r="J89" s="53"/>
      <c r="K89" s="17"/>
      <c r="L89" s="17"/>
    </row>
    <row r="90" spans="1:12" x14ac:dyDescent="0.2">
      <c r="A90" s="74">
        <v>189</v>
      </c>
      <c r="B90" s="75" t="s">
        <v>43</v>
      </c>
      <c r="C90" s="53">
        <f>750+2500+1000</f>
        <v>4250</v>
      </c>
      <c r="D90" s="84">
        <f>14227.5+2500+2500</f>
        <v>19227.5</v>
      </c>
      <c r="E90" s="53">
        <f>2500+2000+1000+17984</f>
        <v>23484</v>
      </c>
      <c r="F90" s="53">
        <v>23445</v>
      </c>
      <c r="G90" s="53">
        <f t="shared" si="3"/>
        <v>70406.5</v>
      </c>
      <c r="H90" s="17">
        <f>20056+2500+2000+1975</f>
        <v>26531</v>
      </c>
      <c r="I90" s="53">
        <f>2500+2000</f>
        <v>4500</v>
      </c>
      <c r="J90" s="53">
        <f>2000+2500</f>
        <v>4500</v>
      </c>
      <c r="K90" s="17">
        <f>3000+2000</f>
        <v>5000</v>
      </c>
      <c r="L90" s="17">
        <f>18800+3000+2000</f>
        <v>23800</v>
      </c>
    </row>
    <row r="91" spans="1:12" ht="22.5" x14ac:dyDescent="0.2">
      <c r="A91" s="74">
        <v>191</v>
      </c>
      <c r="B91" s="75" t="s">
        <v>82</v>
      </c>
      <c r="C91" s="53"/>
      <c r="D91" s="84"/>
      <c r="E91" s="53"/>
      <c r="F91" s="53"/>
      <c r="G91" s="53">
        <f t="shared" si="3"/>
        <v>0</v>
      </c>
      <c r="H91" s="17"/>
      <c r="I91" s="53"/>
      <c r="J91" s="53"/>
      <c r="K91" s="17"/>
      <c r="L91" s="17"/>
    </row>
    <row r="92" spans="1:12" ht="22.5" x14ac:dyDescent="0.2">
      <c r="A92" s="74" t="s">
        <v>83</v>
      </c>
      <c r="B92" s="75" t="s">
        <v>84</v>
      </c>
      <c r="C92" s="53"/>
      <c r="D92" s="84"/>
      <c r="E92" s="53"/>
      <c r="F92" s="53"/>
      <c r="G92" s="53">
        <f t="shared" si="3"/>
        <v>0</v>
      </c>
      <c r="H92" s="17"/>
      <c r="I92" s="53"/>
      <c r="J92" s="53"/>
      <c r="K92" s="17"/>
      <c r="L92" s="17"/>
    </row>
    <row r="93" spans="1:12" x14ac:dyDescent="0.2">
      <c r="A93" s="74">
        <f>195</f>
        <v>195</v>
      </c>
      <c r="B93" s="75" t="s">
        <v>85</v>
      </c>
      <c r="C93" s="53"/>
      <c r="D93" s="84">
        <v>4.21</v>
      </c>
      <c r="E93" s="53"/>
      <c r="F93" s="53"/>
      <c r="G93" s="53">
        <f t="shared" si="3"/>
        <v>4.21</v>
      </c>
      <c r="H93" s="17"/>
      <c r="I93" s="53"/>
      <c r="J93" s="53">
        <v>27.54</v>
      </c>
      <c r="K93" s="17">
        <v>41.88</v>
      </c>
      <c r="L93" s="17">
        <v>44.42</v>
      </c>
    </row>
    <row r="94" spans="1:12" ht="22.5" x14ac:dyDescent="0.2">
      <c r="A94" s="74">
        <v>196</v>
      </c>
      <c r="B94" s="75" t="s">
        <v>44</v>
      </c>
      <c r="C94" s="53"/>
      <c r="D94" s="84"/>
      <c r="E94" s="53"/>
      <c r="F94" s="53"/>
      <c r="G94" s="53">
        <f t="shared" si="3"/>
        <v>0</v>
      </c>
      <c r="H94" s="17"/>
      <c r="I94" s="53"/>
      <c r="J94" s="53"/>
      <c r="K94" s="17"/>
      <c r="L94" s="17"/>
    </row>
    <row r="95" spans="1:12" x14ac:dyDescent="0.2">
      <c r="A95" s="74">
        <v>197</v>
      </c>
      <c r="B95" s="75" t="s">
        <v>45</v>
      </c>
      <c r="C95" s="53"/>
      <c r="D95" s="84">
        <f>775+582</f>
        <v>1357</v>
      </c>
      <c r="E95" s="53"/>
      <c r="F95" s="53"/>
      <c r="G95" s="53">
        <f t="shared" si="3"/>
        <v>1357</v>
      </c>
      <c r="H95" s="17">
        <v>1488</v>
      </c>
      <c r="I95" s="53"/>
      <c r="J95" s="53"/>
      <c r="K95" s="17"/>
      <c r="L95" s="17"/>
    </row>
    <row r="96" spans="1:12" ht="22.5" x14ac:dyDescent="0.2">
      <c r="A96" s="74">
        <v>199</v>
      </c>
      <c r="B96" s="80" t="s">
        <v>46</v>
      </c>
      <c r="C96" s="53"/>
      <c r="D96" s="84">
        <v>1680</v>
      </c>
      <c r="E96" s="53"/>
      <c r="F96" s="53">
        <v>2380</v>
      </c>
      <c r="G96" s="53">
        <f t="shared" si="3"/>
        <v>4060</v>
      </c>
      <c r="H96" s="17">
        <v>203.87</v>
      </c>
      <c r="I96" s="53"/>
      <c r="J96" s="53"/>
      <c r="K96" s="17"/>
      <c r="L96" s="17">
        <f>1950+5600+4575</f>
        <v>12125</v>
      </c>
    </row>
    <row r="97" spans="1:12" x14ac:dyDescent="0.2">
      <c r="A97" s="74" t="s">
        <v>86</v>
      </c>
      <c r="B97" s="75" t="s">
        <v>47</v>
      </c>
      <c r="C97" s="53"/>
      <c r="D97" s="84"/>
      <c r="E97" s="53"/>
      <c r="F97" s="53"/>
      <c r="G97" s="53">
        <f t="shared" si="3"/>
        <v>0</v>
      </c>
      <c r="H97" s="53"/>
      <c r="I97" s="53"/>
      <c r="J97" s="53"/>
      <c r="K97" s="17"/>
      <c r="L97" s="17"/>
    </row>
    <row r="98" spans="1:12" x14ac:dyDescent="0.2">
      <c r="A98" s="74">
        <v>211</v>
      </c>
      <c r="B98" s="75" t="s">
        <v>48</v>
      </c>
      <c r="C98" s="53">
        <v>2500</v>
      </c>
      <c r="D98" s="84">
        <v>2111.63</v>
      </c>
      <c r="E98" s="53"/>
      <c r="F98" s="53"/>
      <c r="G98" s="53">
        <f t="shared" si="3"/>
        <v>4611.63</v>
      </c>
      <c r="H98" s="17">
        <v>4046.8</v>
      </c>
      <c r="I98" s="53"/>
      <c r="J98" s="53"/>
      <c r="K98" s="17"/>
      <c r="L98" s="17"/>
    </row>
    <row r="99" spans="1:12" ht="22.5" x14ac:dyDescent="0.2">
      <c r="A99" s="74" t="s">
        <v>87</v>
      </c>
      <c r="B99" s="75" t="s">
        <v>49</v>
      </c>
      <c r="C99" s="53">
        <v>9500</v>
      </c>
      <c r="D99" s="84">
        <f>4800+10480+20240</f>
        <v>35520</v>
      </c>
      <c r="E99" s="53">
        <v>8750</v>
      </c>
      <c r="F99" s="53">
        <v>12060</v>
      </c>
      <c r="G99" s="53">
        <f t="shared" si="3"/>
        <v>65830</v>
      </c>
      <c r="H99" s="17"/>
      <c r="I99" s="53"/>
      <c r="J99" s="53">
        <v>1040</v>
      </c>
      <c r="K99" s="17"/>
      <c r="L99" s="17"/>
    </row>
    <row r="100" spans="1:12" x14ac:dyDescent="0.2">
      <c r="A100" s="74" t="s">
        <v>88</v>
      </c>
      <c r="B100" s="75" t="s">
        <v>50</v>
      </c>
      <c r="C100" s="53">
        <v>400</v>
      </c>
      <c r="D100" s="84"/>
      <c r="E100" s="53"/>
      <c r="F100" s="53"/>
      <c r="G100" s="53">
        <f t="shared" si="3"/>
        <v>400</v>
      </c>
      <c r="H100" s="17">
        <v>76.8</v>
      </c>
      <c r="I100" s="53"/>
      <c r="J100" s="53">
        <v>178.5</v>
      </c>
      <c r="K100" s="17"/>
      <c r="L100" s="17"/>
    </row>
    <row r="101" spans="1:12" ht="22.5" x14ac:dyDescent="0.2">
      <c r="A101" s="74" t="s">
        <v>89</v>
      </c>
      <c r="B101" s="75" t="s">
        <v>51</v>
      </c>
      <c r="C101" s="53"/>
      <c r="D101" s="84"/>
      <c r="E101" s="53">
        <v>348.6</v>
      </c>
      <c r="F101" s="53"/>
      <c r="G101" s="53">
        <f t="shared" si="3"/>
        <v>348.6</v>
      </c>
      <c r="H101" s="17"/>
      <c r="I101" s="53"/>
      <c r="J101" s="53"/>
      <c r="K101" s="17"/>
      <c r="L101" s="17"/>
    </row>
    <row r="102" spans="1:12" x14ac:dyDescent="0.2">
      <c r="A102" s="74">
        <v>245</v>
      </c>
      <c r="B102" s="75" t="s">
        <v>114</v>
      </c>
      <c r="C102" s="53"/>
      <c r="D102" s="84"/>
      <c r="E102" s="53"/>
      <c r="F102" s="53"/>
      <c r="G102" s="53">
        <f t="shared" si="3"/>
        <v>0</v>
      </c>
      <c r="H102" s="17"/>
      <c r="I102" s="53"/>
      <c r="J102" s="53"/>
      <c r="K102" s="17"/>
      <c r="L102" s="17"/>
    </row>
    <row r="103" spans="1:12" x14ac:dyDescent="0.2">
      <c r="A103" s="74">
        <v>247</v>
      </c>
      <c r="B103" s="75" t="s">
        <v>52</v>
      </c>
      <c r="C103" s="53">
        <v>1000</v>
      </c>
      <c r="D103" s="84"/>
      <c r="E103" s="53">
        <v>2000</v>
      </c>
      <c r="F103" s="53"/>
      <c r="G103" s="53">
        <f t="shared" si="3"/>
        <v>3000</v>
      </c>
      <c r="H103" s="17"/>
      <c r="I103" s="53"/>
      <c r="J103" s="53">
        <f>220+110+66.6</f>
        <v>396.6</v>
      </c>
      <c r="K103" s="17"/>
      <c r="L103" s="17"/>
    </row>
    <row r="104" spans="1:12" x14ac:dyDescent="0.2">
      <c r="A104" s="74">
        <v>249</v>
      </c>
      <c r="B104" s="81" t="s">
        <v>140</v>
      </c>
      <c r="C104" s="53"/>
      <c r="D104" s="84"/>
      <c r="E104" s="53"/>
      <c r="F104" s="53"/>
      <c r="G104" s="53">
        <f t="shared" si="3"/>
        <v>0</v>
      </c>
      <c r="H104" s="17"/>
      <c r="I104" s="53"/>
      <c r="J104" s="53"/>
      <c r="K104" s="17"/>
      <c r="L104" s="17"/>
    </row>
    <row r="105" spans="1:12" x14ac:dyDescent="0.2">
      <c r="A105" s="74">
        <v>262</v>
      </c>
      <c r="B105" s="75" t="s">
        <v>53</v>
      </c>
      <c r="C105" s="53"/>
      <c r="D105" s="84"/>
      <c r="E105" s="53"/>
      <c r="F105" s="53"/>
      <c r="G105" s="53">
        <f t="shared" si="3"/>
        <v>0</v>
      </c>
      <c r="H105" s="17"/>
      <c r="I105" s="53"/>
      <c r="J105" s="53"/>
      <c r="K105" s="17"/>
      <c r="L105" s="17"/>
    </row>
    <row r="106" spans="1:12" ht="22.5" x14ac:dyDescent="0.2">
      <c r="A106" s="74">
        <v>266</v>
      </c>
      <c r="B106" s="75" t="s">
        <v>54</v>
      </c>
      <c r="C106" s="53"/>
      <c r="D106" s="84"/>
      <c r="E106" s="53"/>
      <c r="F106" s="53"/>
      <c r="G106" s="53">
        <f t="shared" si="3"/>
        <v>0</v>
      </c>
      <c r="H106" s="17"/>
      <c r="I106" s="53"/>
      <c r="J106" s="53"/>
      <c r="K106" s="17"/>
      <c r="L106" s="17"/>
    </row>
    <row r="107" spans="1:12" ht="22.5" x14ac:dyDescent="0.2">
      <c r="A107" s="74" t="s">
        <v>90</v>
      </c>
      <c r="B107" s="75" t="s">
        <v>55</v>
      </c>
      <c r="C107" s="53"/>
      <c r="D107" s="84"/>
      <c r="E107" s="53"/>
      <c r="F107" s="53"/>
      <c r="G107" s="53">
        <f t="shared" si="3"/>
        <v>0</v>
      </c>
      <c r="H107" s="17"/>
      <c r="I107" s="53"/>
      <c r="J107" s="53"/>
      <c r="K107" s="17"/>
      <c r="L107" s="17"/>
    </row>
    <row r="108" spans="1:12" ht="22.5" x14ac:dyDescent="0.2">
      <c r="A108" s="74">
        <v>268</v>
      </c>
      <c r="B108" s="44" t="s">
        <v>56</v>
      </c>
      <c r="C108" s="17"/>
      <c r="D108" s="85"/>
      <c r="E108" s="53">
        <v>1710.32</v>
      </c>
      <c r="F108" s="53"/>
      <c r="G108" s="53">
        <f t="shared" si="3"/>
        <v>1710.32</v>
      </c>
      <c r="H108" s="17">
        <v>348.19</v>
      </c>
      <c r="I108" s="53"/>
      <c r="J108" s="53">
        <v>317.5</v>
      </c>
      <c r="K108" s="17"/>
      <c r="L108" s="17"/>
    </row>
    <row r="109" spans="1:12" ht="27" customHeight="1" x14ac:dyDescent="0.2">
      <c r="A109" s="74">
        <v>283</v>
      </c>
      <c r="B109" s="75" t="s">
        <v>57</v>
      </c>
      <c r="C109" s="53"/>
      <c r="D109" s="84"/>
      <c r="E109" s="53"/>
      <c r="F109" s="53"/>
      <c r="G109" s="53">
        <f t="shared" si="3"/>
        <v>0</v>
      </c>
      <c r="H109" s="17"/>
      <c r="I109" s="53"/>
      <c r="J109" s="53"/>
      <c r="K109" s="17"/>
      <c r="L109" s="17"/>
    </row>
    <row r="110" spans="1:12" ht="23.25" customHeight="1" x14ac:dyDescent="0.2">
      <c r="A110" s="74" t="s">
        <v>91</v>
      </c>
      <c r="B110" s="75" t="s">
        <v>58</v>
      </c>
      <c r="C110" s="53"/>
      <c r="D110" s="84"/>
      <c r="E110" s="53"/>
      <c r="F110" s="53"/>
      <c r="G110" s="53">
        <f t="shared" si="3"/>
        <v>0</v>
      </c>
      <c r="H110" s="17"/>
      <c r="I110" s="53"/>
      <c r="J110" s="53"/>
      <c r="K110" s="17"/>
      <c r="L110" s="17"/>
    </row>
    <row r="111" spans="1:12" ht="22.5" x14ac:dyDescent="0.2">
      <c r="A111" s="74" t="s">
        <v>92</v>
      </c>
      <c r="B111" s="44" t="s">
        <v>59</v>
      </c>
      <c r="C111" s="17"/>
      <c r="D111" s="85"/>
      <c r="E111" s="53">
        <v>166</v>
      </c>
      <c r="F111" s="53"/>
      <c r="G111" s="53">
        <f t="shared" si="3"/>
        <v>166</v>
      </c>
      <c r="H111" s="17">
        <v>76.349999999999994</v>
      </c>
      <c r="I111" s="53"/>
      <c r="J111" s="53"/>
      <c r="K111" s="17"/>
      <c r="L111" s="17"/>
    </row>
    <row r="112" spans="1:12" ht="22.5" x14ac:dyDescent="0.2">
      <c r="A112" s="74">
        <v>294</v>
      </c>
      <c r="B112" s="44" t="s">
        <v>60</v>
      </c>
      <c r="C112" s="17"/>
      <c r="D112" s="85">
        <f>4264+13008</f>
        <v>17272</v>
      </c>
      <c r="E112" s="53">
        <v>32390.400000000001</v>
      </c>
      <c r="F112" s="53"/>
      <c r="G112" s="53">
        <f t="shared" si="3"/>
        <v>49662.400000000001</v>
      </c>
      <c r="H112" s="17">
        <v>33619.599999999999</v>
      </c>
      <c r="I112" s="53"/>
      <c r="J112" s="53"/>
      <c r="K112" s="17"/>
      <c r="L112" s="17">
        <v>16819.52</v>
      </c>
    </row>
    <row r="113" spans="1:12" ht="22.5" x14ac:dyDescent="0.2">
      <c r="A113" s="74">
        <v>297</v>
      </c>
      <c r="B113" s="44" t="s">
        <v>147</v>
      </c>
      <c r="C113" s="17"/>
      <c r="D113" s="85"/>
      <c r="E113" s="53"/>
      <c r="F113" s="53"/>
      <c r="G113" s="53"/>
      <c r="H113" s="17">
        <v>47.99</v>
      </c>
      <c r="I113" s="53"/>
      <c r="J113" s="53"/>
      <c r="K113" s="17"/>
      <c r="L113" s="17"/>
    </row>
    <row r="114" spans="1:12" ht="22.5" x14ac:dyDescent="0.2">
      <c r="A114" s="74" t="s">
        <v>93</v>
      </c>
      <c r="B114" s="44" t="s">
        <v>61</v>
      </c>
      <c r="C114" s="17"/>
      <c r="D114" s="85"/>
      <c r="E114" s="53">
        <v>730</v>
      </c>
      <c r="F114" s="53"/>
      <c r="G114" s="53">
        <f t="shared" si="3"/>
        <v>730</v>
      </c>
      <c r="H114" s="17"/>
      <c r="I114" s="53"/>
      <c r="J114" s="53"/>
      <c r="K114" s="17"/>
      <c r="L114" s="17"/>
    </row>
    <row r="115" spans="1:12" x14ac:dyDescent="0.2">
      <c r="A115" s="78" t="s">
        <v>94</v>
      </c>
      <c r="B115" s="79" t="s">
        <v>62</v>
      </c>
      <c r="C115" s="53"/>
      <c r="D115" s="84"/>
      <c r="E115" s="53"/>
      <c r="F115" s="53"/>
      <c r="G115" s="53">
        <f t="shared" si="3"/>
        <v>0</v>
      </c>
      <c r="H115" s="17"/>
      <c r="I115" s="53"/>
      <c r="J115" s="53"/>
      <c r="K115" s="17"/>
      <c r="L115" s="17"/>
    </row>
    <row r="116" spans="1:12" x14ac:dyDescent="0.2">
      <c r="A116" s="74">
        <v>322</v>
      </c>
      <c r="B116" s="75" t="s">
        <v>63</v>
      </c>
      <c r="C116" s="53"/>
      <c r="D116" s="84"/>
      <c r="E116" s="53"/>
      <c r="F116" s="53"/>
      <c r="G116" s="53">
        <f t="shared" si="3"/>
        <v>0</v>
      </c>
      <c r="H116" s="17"/>
      <c r="I116" s="53"/>
      <c r="J116" s="53"/>
      <c r="K116" s="17"/>
      <c r="L116" s="17"/>
    </row>
    <row r="117" spans="1:12" ht="22.5" x14ac:dyDescent="0.2">
      <c r="A117" s="74">
        <v>324</v>
      </c>
      <c r="B117" s="75" t="s">
        <v>72</v>
      </c>
      <c r="C117" s="53"/>
      <c r="D117" s="84"/>
      <c r="E117" s="53"/>
      <c r="F117" s="53"/>
      <c r="G117" s="53">
        <f t="shared" si="3"/>
        <v>0</v>
      </c>
      <c r="H117" s="17"/>
      <c r="I117" s="53"/>
      <c r="J117" s="53"/>
      <c r="K117" s="17"/>
      <c r="L117" s="17"/>
    </row>
    <row r="118" spans="1:12" x14ac:dyDescent="0.2">
      <c r="A118" s="74">
        <v>328</v>
      </c>
      <c r="B118" s="75" t="s">
        <v>64</v>
      </c>
      <c r="C118" s="53"/>
      <c r="D118" s="84"/>
      <c r="E118" s="53"/>
      <c r="F118" s="53"/>
      <c r="G118" s="53">
        <f t="shared" si="3"/>
        <v>0</v>
      </c>
      <c r="H118" s="17"/>
      <c r="I118" s="53"/>
      <c r="J118" s="53"/>
      <c r="K118" s="17"/>
      <c r="L118" s="17"/>
    </row>
    <row r="119" spans="1:12" x14ac:dyDescent="0.2">
      <c r="A119" s="78" t="s">
        <v>95</v>
      </c>
      <c r="B119" s="79" t="s">
        <v>65</v>
      </c>
      <c r="C119" s="53"/>
      <c r="D119" s="84"/>
      <c r="E119" s="53"/>
      <c r="F119" s="53"/>
      <c r="G119" s="53">
        <f t="shared" si="3"/>
        <v>0</v>
      </c>
      <c r="H119" s="17"/>
      <c r="I119" s="53"/>
      <c r="J119" s="53"/>
      <c r="K119" s="17"/>
      <c r="L119" s="17"/>
    </row>
    <row r="120" spans="1:12" x14ac:dyDescent="0.2">
      <c r="A120" s="74" t="s">
        <v>96</v>
      </c>
      <c r="B120" s="75" t="s">
        <v>66</v>
      </c>
      <c r="C120" s="53"/>
      <c r="D120" s="84"/>
      <c r="E120" s="53"/>
      <c r="F120" s="53"/>
      <c r="G120" s="53">
        <f t="shared" si="3"/>
        <v>0</v>
      </c>
      <c r="H120" s="17"/>
      <c r="I120" s="53"/>
      <c r="J120" s="53"/>
      <c r="K120" s="17"/>
      <c r="L120" s="17"/>
    </row>
    <row r="121" spans="1:12" ht="22.5" x14ac:dyDescent="0.2">
      <c r="A121" s="74">
        <v>415</v>
      </c>
      <c r="B121" s="75" t="s">
        <v>67</v>
      </c>
      <c r="C121" s="53"/>
      <c r="D121" s="84"/>
      <c r="E121" s="53"/>
      <c r="F121" s="53"/>
      <c r="G121" s="53">
        <f t="shared" ref="G121:G139" si="4">+C121+D121+E121+F121</f>
        <v>0</v>
      </c>
      <c r="H121" s="17"/>
      <c r="I121" s="53"/>
      <c r="J121" s="53"/>
      <c r="K121" s="17"/>
      <c r="L121" s="17"/>
    </row>
    <row r="122" spans="1:12" ht="22.5" x14ac:dyDescent="0.2">
      <c r="A122" s="74">
        <v>419</v>
      </c>
      <c r="B122" s="75" t="s">
        <v>68</v>
      </c>
      <c r="C122" s="53"/>
      <c r="D122" s="84">
        <f>28961.52+862.1+1380+2300+2300+1380</f>
        <v>37183.619999999995</v>
      </c>
      <c r="E122" s="53"/>
      <c r="F122" s="53">
        <v>5404.2</v>
      </c>
      <c r="G122" s="53">
        <f t="shared" si="4"/>
        <v>42587.819999999992</v>
      </c>
      <c r="H122" s="17"/>
      <c r="I122" s="53">
        <v>2300</v>
      </c>
      <c r="J122" s="53">
        <v>1380</v>
      </c>
      <c r="K122" s="17"/>
      <c r="L122" s="17">
        <v>2300</v>
      </c>
    </row>
    <row r="123" spans="1:12" ht="33.75" x14ac:dyDescent="0.2">
      <c r="A123" s="74">
        <v>472</v>
      </c>
      <c r="B123" s="75" t="s">
        <v>69</v>
      </c>
      <c r="C123" s="53"/>
      <c r="D123" s="84"/>
      <c r="E123" s="53"/>
      <c r="F123" s="53">
        <v>4093.72</v>
      </c>
      <c r="G123" s="53">
        <f t="shared" si="4"/>
        <v>4093.72</v>
      </c>
      <c r="H123" s="17"/>
      <c r="I123" s="53">
        <f>11298.34</f>
        <v>11298.34</v>
      </c>
      <c r="J123" s="53">
        <v>1444.89</v>
      </c>
      <c r="K123" s="17">
        <f>4892.1+1321.37</f>
        <v>6213.47</v>
      </c>
      <c r="L123" s="17">
        <v>1346.48</v>
      </c>
    </row>
    <row r="124" spans="1:12" ht="22.5" x14ac:dyDescent="0.2">
      <c r="A124" s="74"/>
      <c r="B124" s="75" t="s">
        <v>97</v>
      </c>
      <c r="C124" s="53"/>
      <c r="D124" s="84"/>
      <c r="E124" s="53"/>
      <c r="F124" s="53"/>
      <c r="G124" s="53">
        <f t="shared" si="4"/>
        <v>0</v>
      </c>
      <c r="H124" s="17">
        <v>1185.78</v>
      </c>
      <c r="I124" s="53">
        <v>193.2</v>
      </c>
      <c r="J124" s="53">
        <v>193.2</v>
      </c>
      <c r="K124" s="17">
        <v>193.2</v>
      </c>
      <c r="L124" s="17">
        <v>193.2</v>
      </c>
    </row>
    <row r="125" spans="1:12" ht="22.5" x14ac:dyDescent="0.2">
      <c r="A125" s="74"/>
      <c r="B125" s="75" t="s">
        <v>103</v>
      </c>
      <c r="C125" s="53">
        <v>808.28</v>
      </c>
      <c r="D125" s="84">
        <v>350</v>
      </c>
      <c r="E125" s="17">
        <v>598</v>
      </c>
      <c r="F125" s="53">
        <v>489.25</v>
      </c>
      <c r="G125" s="53">
        <f>+C125+D125+E125+F125</f>
        <v>2245.5299999999997</v>
      </c>
      <c r="H125" s="17">
        <v>489.25</v>
      </c>
      <c r="I125" s="53">
        <f>108.75+190.25+190.25</f>
        <v>489.25</v>
      </c>
      <c r="J125" s="53">
        <f>190.25+190.25+108.75</f>
        <v>489.25</v>
      </c>
      <c r="K125" s="17">
        <f>190.25+190.25+108.75</f>
        <v>489.25</v>
      </c>
      <c r="L125" s="17">
        <v>489.25</v>
      </c>
    </row>
    <row r="126" spans="1:12" x14ac:dyDescent="0.2">
      <c r="A126" s="74"/>
      <c r="B126" s="75" t="s">
        <v>104</v>
      </c>
      <c r="C126" s="57"/>
      <c r="D126" s="57"/>
      <c r="E126" s="57"/>
      <c r="F126" s="57"/>
      <c r="G126" s="53">
        <f>+C126+D126+E126+F126</f>
        <v>0</v>
      </c>
      <c r="H126" s="57"/>
      <c r="I126" s="57"/>
      <c r="J126" s="57"/>
      <c r="K126" s="57"/>
      <c r="L126" s="57"/>
    </row>
    <row r="127" spans="1:12" x14ac:dyDescent="0.2">
      <c r="A127" s="74"/>
      <c r="B127" s="75" t="s">
        <v>105</v>
      </c>
      <c r="C127" s="53"/>
      <c r="D127" s="84"/>
      <c r="E127" s="17">
        <v>822.21</v>
      </c>
      <c r="F127" s="53"/>
      <c r="G127" s="53">
        <f t="shared" si="4"/>
        <v>822.21</v>
      </c>
      <c r="H127" s="17">
        <v>540.41999999999996</v>
      </c>
      <c r="I127" s="53"/>
      <c r="J127" s="53">
        <v>230</v>
      </c>
      <c r="K127" s="17">
        <v>138</v>
      </c>
      <c r="L127" s="17"/>
    </row>
    <row r="128" spans="1:12" ht="22.5" x14ac:dyDescent="0.2">
      <c r="A128" s="74"/>
      <c r="B128" s="75" t="s">
        <v>106</v>
      </c>
      <c r="C128" s="53"/>
      <c r="D128" s="84"/>
      <c r="E128" s="17"/>
      <c r="F128" s="53"/>
      <c r="G128" s="53">
        <f t="shared" si="4"/>
        <v>0</v>
      </c>
      <c r="H128" s="17"/>
      <c r="I128" s="53"/>
      <c r="J128" s="53"/>
      <c r="K128" s="17"/>
      <c r="L128" s="17"/>
    </row>
    <row r="129" spans="1:12" x14ac:dyDescent="0.2">
      <c r="A129" s="74"/>
      <c r="B129" s="75" t="s">
        <v>107</v>
      </c>
      <c r="C129" s="53">
        <v>392.94</v>
      </c>
      <c r="D129" s="84">
        <v>-392.94</v>
      </c>
      <c r="E129" s="17"/>
      <c r="F129" s="57"/>
      <c r="G129" s="53">
        <f t="shared" si="4"/>
        <v>0</v>
      </c>
      <c r="H129" s="17"/>
      <c r="I129" s="53"/>
      <c r="J129" s="53"/>
      <c r="K129" s="17"/>
      <c r="L129" s="17"/>
    </row>
    <row r="130" spans="1:12" x14ac:dyDescent="0.2">
      <c r="A130" s="74"/>
      <c r="B130" s="75" t="s">
        <v>141</v>
      </c>
      <c r="C130" s="53"/>
      <c r="D130" s="84"/>
      <c r="E130" s="17"/>
      <c r="F130" s="53"/>
      <c r="G130" s="53">
        <f t="shared" si="4"/>
        <v>0</v>
      </c>
      <c r="H130" s="17"/>
      <c r="I130" s="53"/>
      <c r="J130" s="53"/>
      <c r="K130" s="17"/>
      <c r="L130" s="17"/>
    </row>
    <row r="131" spans="1:12" ht="15" x14ac:dyDescent="0.2">
      <c r="A131" s="74"/>
      <c r="B131" s="75" t="s">
        <v>115</v>
      </c>
      <c r="C131" s="53"/>
      <c r="D131" s="84"/>
      <c r="E131" s="86"/>
      <c r="F131" s="53"/>
      <c r="G131" s="53">
        <f t="shared" si="4"/>
        <v>0</v>
      </c>
      <c r="H131" s="17"/>
      <c r="I131" s="53"/>
      <c r="J131" s="53"/>
      <c r="K131" s="17"/>
      <c r="L131" s="17"/>
    </row>
    <row r="132" spans="1:12" x14ac:dyDescent="0.2">
      <c r="A132" s="74"/>
      <c r="B132" s="75" t="s">
        <v>148</v>
      </c>
      <c r="C132" s="53"/>
      <c r="D132" s="84"/>
      <c r="E132" s="53"/>
      <c r="F132" s="53"/>
      <c r="G132" s="53">
        <f t="shared" si="4"/>
        <v>0</v>
      </c>
      <c r="H132" s="17">
        <v>6073.8</v>
      </c>
      <c r="I132" s="53"/>
      <c r="J132" s="53"/>
      <c r="K132" s="17"/>
      <c r="L132" s="17"/>
    </row>
    <row r="133" spans="1:12" ht="22.5" x14ac:dyDescent="0.2">
      <c r="A133" s="74"/>
      <c r="B133" s="75" t="s">
        <v>121</v>
      </c>
      <c r="C133" s="53"/>
      <c r="D133" s="84"/>
      <c r="E133" s="53"/>
      <c r="F133" s="53"/>
      <c r="G133" s="53">
        <f t="shared" si="4"/>
        <v>0</v>
      </c>
      <c r="H133" s="17"/>
      <c r="I133" s="53"/>
      <c r="J133" s="53"/>
      <c r="K133" s="17"/>
      <c r="L133" s="17"/>
    </row>
    <row r="134" spans="1:12" ht="22.5" x14ac:dyDescent="0.2">
      <c r="A134" s="74"/>
      <c r="B134" s="75" t="s">
        <v>109</v>
      </c>
      <c r="C134" s="53"/>
      <c r="D134" s="84"/>
      <c r="E134" s="53"/>
      <c r="F134" s="53"/>
      <c r="G134" s="53">
        <f t="shared" si="4"/>
        <v>0</v>
      </c>
      <c r="H134" s="17"/>
      <c r="I134" s="53"/>
      <c r="K134" s="17"/>
      <c r="L134" s="17"/>
    </row>
    <row r="135" spans="1:12" x14ac:dyDescent="0.2">
      <c r="A135" s="74"/>
      <c r="B135" s="75" t="s">
        <v>149</v>
      </c>
      <c r="C135" s="53"/>
      <c r="D135" s="84"/>
      <c r="E135" s="53"/>
      <c r="F135" s="53"/>
      <c r="G135" s="53"/>
      <c r="H135" s="17"/>
      <c r="I135" s="53">
        <v>10080</v>
      </c>
      <c r="J135" s="53">
        <v>1379.2</v>
      </c>
      <c r="K135" s="17"/>
      <c r="L135" s="17"/>
    </row>
    <row r="136" spans="1:12" x14ac:dyDescent="0.2">
      <c r="A136" s="74"/>
      <c r="B136" s="75" t="s">
        <v>142</v>
      </c>
      <c r="C136" s="53"/>
      <c r="D136" s="84"/>
      <c r="E136" s="53"/>
      <c r="F136" s="53"/>
      <c r="G136" s="53">
        <f t="shared" si="4"/>
        <v>0</v>
      </c>
      <c r="H136" s="17"/>
      <c r="I136" s="53"/>
      <c r="J136" s="53"/>
      <c r="K136" s="57"/>
      <c r="L136" s="17"/>
    </row>
    <row r="137" spans="1:12" x14ac:dyDescent="0.2">
      <c r="A137" s="74"/>
      <c r="B137" s="75" t="s">
        <v>110</v>
      </c>
      <c r="C137" s="53">
        <v>1455.86</v>
      </c>
      <c r="D137" s="84">
        <v>210</v>
      </c>
      <c r="E137" s="53">
        <v>605.46</v>
      </c>
      <c r="F137" s="53">
        <v>293.55</v>
      </c>
      <c r="G137" s="53">
        <f t="shared" si="4"/>
        <v>2564.87</v>
      </c>
      <c r="H137" s="17">
        <v>455.57</v>
      </c>
      <c r="I137" s="53">
        <f>65.25+114.15+114.15</f>
        <v>293.55</v>
      </c>
      <c r="J137" s="53">
        <f>114.15+114.15+69+65.25</f>
        <v>362.55</v>
      </c>
      <c r="K137" s="17">
        <f>114.15+114.15+65.25+41.4</f>
        <v>334.95</v>
      </c>
      <c r="L137" s="17">
        <v>293.55</v>
      </c>
    </row>
    <row r="138" spans="1:12" x14ac:dyDescent="0.2">
      <c r="A138" s="74"/>
      <c r="B138" s="75" t="s">
        <v>143</v>
      </c>
      <c r="C138" s="53"/>
      <c r="D138" s="84">
        <v>45.7</v>
      </c>
      <c r="E138" s="87">
        <v>45.7</v>
      </c>
      <c r="F138" s="53">
        <v>53.76</v>
      </c>
      <c r="G138" s="53">
        <f t="shared" si="4"/>
        <v>145.16</v>
      </c>
      <c r="H138" s="17">
        <v>53.76</v>
      </c>
      <c r="I138" s="53">
        <v>53.76</v>
      </c>
      <c r="J138" s="53">
        <v>53.76</v>
      </c>
      <c r="K138" s="17">
        <v>53.76</v>
      </c>
      <c r="L138" s="57">
        <v>53.76</v>
      </c>
    </row>
    <row r="139" spans="1:12" ht="15" x14ac:dyDescent="0.2">
      <c r="A139" s="74"/>
      <c r="B139" s="75" t="s">
        <v>113</v>
      </c>
      <c r="C139" s="53">
        <v>0</v>
      </c>
      <c r="D139" s="84"/>
      <c r="E139" s="53"/>
      <c r="F139" s="86"/>
      <c r="G139" s="53">
        <f t="shared" si="4"/>
        <v>0</v>
      </c>
      <c r="H139" s="17"/>
      <c r="I139" s="53">
        <v>861.34</v>
      </c>
      <c r="J139" s="53"/>
      <c r="K139" s="57"/>
      <c r="L139" s="57"/>
    </row>
    <row r="140" spans="1:12" ht="12.75" thickBot="1" x14ac:dyDescent="0.25">
      <c r="A140" s="14"/>
      <c r="B140" s="82" t="s">
        <v>70</v>
      </c>
      <c r="C140" s="59">
        <f t="shared" ref="C140:L140" si="5">SUM(C54:C139)</f>
        <v>37238.520000000004</v>
      </c>
      <c r="D140" s="59">
        <f t="shared" si="5"/>
        <v>149571.68</v>
      </c>
      <c r="E140" s="59">
        <f t="shared" si="5"/>
        <v>92000.190000000017</v>
      </c>
      <c r="F140" s="59">
        <f t="shared" si="5"/>
        <v>80405.73</v>
      </c>
      <c r="G140" s="59">
        <f t="shared" si="5"/>
        <v>359216.12</v>
      </c>
      <c r="H140" s="59">
        <f t="shared" si="5"/>
        <v>99616.180000000022</v>
      </c>
      <c r="I140" s="59">
        <f t="shared" si="5"/>
        <v>50845.74</v>
      </c>
      <c r="J140" s="59">
        <f t="shared" si="5"/>
        <v>201598.46000000008</v>
      </c>
      <c r="K140" s="59">
        <f t="shared" si="5"/>
        <v>118058.59000000003</v>
      </c>
      <c r="L140" s="59">
        <f t="shared" si="5"/>
        <v>100559.93</v>
      </c>
    </row>
    <row r="141" spans="1:12" ht="23.25" thickBot="1" x14ac:dyDescent="0.25">
      <c r="A141" s="14"/>
      <c r="B141" s="16" t="s">
        <v>117</v>
      </c>
    </row>
    <row r="142" spans="1:12" x14ac:dyDescent="0.2">
      <c r="J142" s="92"/>
    </row>
    <row r="143" spans="1:12" x14ac:dyDescent="0.2">
      <c r="D143" s="92"/>
    </row>
    <row r="145" spans="4:4" x14ac:dyDescent="0.2">
      <c r="D145" s="92"/>
    </row>
  </sheetData>
  <mergeCells count="22">
    <mergeCell ref="B50:L50"/>
    <mergeCell ref="B47:L47"/>
    <mergeCell ref="B46:L46"/>
    <mergeCell ref="B15:C15"/>
    <mergeCell ref="B8:L8"/>
    <mergeCell ref="B9:L9"/>
    <mergeCell ref="B44:L44"/>
    <mergeCell ref="B12:L12"/>
    <mergeCell ref="B10:L10"/>
    <mergeCell ref="B11:L11"/>
    <mergeCell ref="B13:L13"/>
    <mergeCell ref="B36:C36"/>
    <mergeCell ref="B37:C37"/>
    <mergeCell ref="B45:L45"/>
    <mergeCell ref="B49:L49"/>
    <mergeCell ref="B48:L48"/>
    <mergeCell ref="B38:C38"/>
    <mergeCell ref="B39:C39"/>
    <mergeCell ref="B40:C40"/>
    <mergeCell ref="B42:C42"/>
    <mergeCell ref="B43:C43"/>
    <mergeCell ref="B41:C41"/>
  </mergeCells>
  <pageMargins left="1.5748031496062993" right="0.51181102362204722" top="1.7716535433070868" bottom="1.1811023622047245" header="0.31496062992125984" footer="0.31496062992125984"/>
  <pageSetup scale="61" orientation="landscape" r:id="rId1"/>
  <headerFooter>
    <oddFooter>Página &amp;P</oddFooter>
  </headerFooter>
  <rowBreaks count="3" manualBreakCount="3">
    <brk id="42" max="11" man="1"/>
    <brk id="85" max="11" man="1"/>
    <brk id="1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0"/>
  <sheetViews>
    <sheetView zoomScaleNormal="100" zoomScaleSheetLayoutView="98" workbookViewId="0">
      <selection activeCell="G15" sqref="G15"/>
    </sheetView>
  </sheetViews>
  <sheetFormatPr baseColWidth="10" defaultColWidth="11" defaultRowHeight="12" x14ac:dyDescent="0.2"/>
  <cols>
    <col min="1" max="1" width="8.28515625" style="2" customWidth="1"/>
    <col min="2" max="2" width="24.7109375" style="2" customWidth="1"/>
    <col min="3" max="3" width="16" style="2" customWidth="1"/>
    <col min="4" max="4" width="12.85546875" style="2" customWidth="1"/>
    <col min="5" max="5" width="12.28515625" style="2" customWidth="1"/>
    <col min="6" max="6" width="13.7109375" style="2" customWidth="1"/>
    <col min="7" max="7" width="13.42578125" style="2" customWidth="1"/>
    <col min="8" max="10" width="0" style="2" hidden="1" customWidth="1"/>
    <col min="11" max="16384" width="11" style="2"/>
  </cols>
  <sheetData>
    <row r="1" spans="2:14" x14ac:dyDescent="0.2">
      <c r="B1" s="108"/>
      <c r="C1" s="108"/>
      <c r="D1" s="108"/>
      <c r="E1" s="108"/>
      <c r="F1" s="108"/>
      <c r="G1" s="108"/>
    </row>
    <row r="2" spans="2:14" x14ac:dyDescent="0.2">
      <c r="B2" s="21"/>
      <c r="C2" s="21"/>
      <c r="D2" s="21"/>
      <c r="E2" s="21"/>
      <c r="F2" s="21"/>
      <c r="G2" s="21"/>
    </row>
    <row r="3" spans="2:14" x14ac:dyDescent="0.2">
      <c r="B3" s="21"/>
      <c r="C3" s="21"/>
      <c r="D3" s="21"/>
      <c r="E3" s="21"/>
      <c r="F3" s="21"/>
      <c r="G3" s="21"/>
    </row>
    <row r="4" spans="2:14" x14ac:dyDescent="0.2">
      <c r="B4" s="21"/>
      <c r="C4" s="21"/>
      <c r="D4" s="21"/>
      <c r="E4" s="21"/>
      <c r="F4" s="21"/>
      <c r="G4" s="21"/>
    </row>
    <row r="5" spans="2:14" x14ac:dyDescent="0.2">
      <c r="B5" s="21"/>
      <c r="C5" s="21"/>
      <c r="D5" s="21"/>
      <c r="E5" s="21"/>
      <c r="F5" s="21"/>
      <c r="G5" s="21"/>
    </row>
    <row r="6" spans="2:14" x14ac:dyDescent="0.2">
      <c r="B6" s="21"/>
      <c r="C6" s="21"/>
      <c r="D6" s="21"/>
      <c r="E6" s="21"/>
      <c r="F6" s="21"/>
      <c r="G6" s="21"/>
    </row>
    <row r="7" spans="2:14" x14ac:dyDescent="0.2">
      <c r="B7" s="108"/>
      <c r="C7" s="108"/>
      <c r="D7" s="108"/>
      <c r="E7" s="108"/>
      <c r="F7" s="108"/>
      <c r="G7" s="108"/>
    </row>
    <row r="8" spans="2:14" x14ac:dyDescent="0.2">
      <c r="B8" s="108" t="s">
        <v>119</v>
      </c>
      <c r="C8" s="108"/>
      <c r="D8" s="108"/>
      <c r="E8" s="108"/>
      <c r="F8" s="108"/>
      <c r="G8" s="108"/>
      <c r="H8" s="3"/>
      <c r="I8" s="3"/>
      <c r="J8" s="3"/>
      <c r="K8" s="3"/>
      <c r="L8" s="3"/>
    </row>
    <row r="9" spans="2:14" x14ac:dyDescent="0.2">
      <c r="B9" s="108" t="s">
        <v>153</v>
      </c>
      <c r="C9" s="108"/>
      <c r="D9" s="108"/>
      <c r="E9" s="108"/>
      <c r="F9" s="108"/>
      <c r="G9" s="108"/>
      <c r="H9" s="3"/>
      <c r="I9" s="3"/>
      <c r="J9" s="3"/>
      <c r="K9" s="3"/>
      <c r="L9" s="3"/>
    </row>
    <row r="10" spans="2:14" x14ac:dyDescent="0.2">
      <c r="B10" s="108" t="s">
        <v>155</v>
      </c>
      <c r="C10" s="108"/>
      <c r="D10" s="108"/>
      <c r="E10" s="108"/>
      <c r="F10" s="108"/>
      <c r="G10" s="108"/>
      <c r="H10" s="3"/>
      <c r="I10" s="3"/>
      <c r="J10" s="3"/>
      <c r="K10" s="3"/>
      <c r="L10" s="3"/>
    </row>
    <row r="11" spans="2:14" x14ac:dyDescent="0.2">
      <c r="B11" s="108" t="s">
        <v>129</v>
      </c>
      <c r="C11" s="108"/>
      <c r="D11" s="108"/>
      <c r="E11" s="108"/>
      <c r="F11" s="108"/>
      <c r="G11" s="108"/>
      <c r="H11" s="3"/>
      <c r="I11" s="3"/>
      <c r="J11" s="3"/>
      <c r="K11" s="3"/>
      <c r="L11" s="3"/>
      <c r="M11" s="3"/>
      <c r="N11" s="3"/>
    </row>
    <row r="12" spans="2:14" x14ac:dyDescent="0.2">
      <c r="B12" s="108" t="s">
        <v>151</v>
      </c>
      <c r="C12" s="108"/>
      <c r="D12" s="108"/>
      <c r="E12" s="108"/>
      <c r="F12" s="108"/>
      <c r="G12" s="108"/>
      <c r="H12" s="3"/>
      <c r="I12" s="3"/>
      <c r="J12" s="3"/>
      <c r="K12" s="3"/>
      <c r="L12" s="3"/>
      <c r="M12" s="3"/>
      <c r="N12" s="3"/>
    </row>
    <row r="13" spans="2:14" x14ac:dyDescent="0.2">
      <c r="B13" s="108" t="s">
        <v>136</v>
      </c>
      <c r="C13" s="108"/>
      <c r="D13" s="108"/>
      <c r="E13" s="108"/>
      <c r="F13" s="108"/>
      <c r="G13" s="108"/>
      <c r="H13" s="3"/>
      <c r="I13" s="3"/>
      <c r="J13" s="3"/>
      <c r="K13" s="3"/>
      <c r="L13" s="3"/>
    </row>
    <row r="14" spans="2:14" ht="13.5" customHeight="1" x14ac:dyDescent="0.2">
      <c r="B14" s="108"/>
      <c r="C14" s="108"/>
      <c r="D14" s="108"/>
      <c r="E14" s="108"/>
      <c r="F14" s="108"/>
      <c r="G14" s="108"/>
      <c r="H14" s="108"/>
      <c r="I14" s="108"/>
      <c r="J14" s="108"/>
    </row>
    <row r="15" spans="2:14" ht="13.5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</row>
    <row r="16" spans="2:14" ht="13.5" customHeight="1" x14ac:dyDescent="0.2">
      <c r="B16" s="108" t="s">
        <v>98</v>
      </c>
      <c r="C16" s="108"/>
      <c r="D16" s="108"/>
      <c r="E16" s="108"/>
      <c r="F16" s="108"/>
      <c r="G16" s="108"/>
    </row>
    <row r="17" spans="2:10" ht="12.75" thickBot="1" x14ac:dyDescent="0.25">
      <c r="B17" s="115" t="s">
        <v>0</v>
      </c>
      <c r="C17" s="115"/>
      <c r="D17" s="115"/>
      <c r="E17" s="115"/>
      <c r="F17" s="115"/>
      <c r="G17" s="115"/>
    </row>
    <row r="18" spans="2:10" ht="12.75" thickBot="1" x14ac:dyDescent="0.25">
      <c r="B18" s="67"/>
      <c r="C18" s="68"/>
      <c r="D18" s="68"/>
      <c r="E18" s="68"/>
      <c r="F18" s="68"/>
      <c r="G18" s="69"/>
    </row>
    <row r="19" spans="2:10" ht="27.75" thickBot="1" x14ac:dyDescent="0.25">
      <c r="B19" s="25" t="s">
        <v>2</v>
      </c>
      <c r="C19" s="101" t="s">
        <v>99</v>
      </c>
      <c r="D19" s="102" t="s">
        <v>3</v>
      </c>
      <c r="E19" s="102" t="s">
        <v>4</v>
      </c>
      <c r="F19" s="103" t="s">
        <v>100</v>
      </c>
      <c r="G19" s="9" t="s">
        <v>5</v>
      </c>
      <c r="H19" s="26" t="s">
        <v>6</v>
      </c>
      <c r="I19" s="26" t="s">
        <v>118</v>
      </c>
      <c r="J19" s="27" t="s">
        <v>71</v>
      </c>
    </row>
    <row r="20" spans="2:10" ht="12.75" x14ac:dyDescent="0.2">
      <c r="B20" s="50" t="s">
        <v>7</v>
      </c>
      <c r="C20" s="51">
        <v>0</v>
      </c>
      <c r="D20" s="100"/>
      <c r="E20" s="100"/>
      <c r="F20" s="100"/>
      <c r="G20" s="29">
        <f>+C20+D20-E20+F20</f>
        <v>0</v>
      </c>
      <c r="H20" s="64"/>
      <c r="I20" s="28"/>
      <c r="J20" s="29">
        <f>+G20</f>
        <v>0</v>
      </c>
    </row>
    <row r="21" spans="2:10" ht="12.75" x14ac:dyDescent="0.2">
      <c r="B21" s="49" t="s">
        <v>8</v>
      </c>
      <c r="C21" s="22">
        <v>450000</v>
      </c>
      <c r="D21" s="22"/>
      <c r="E21" s="22"/>
      <c r="F21" s="22"/>
      <c r="G21" s="30">
        <f>+C21+D21-E21+F21</f>
        <v>450000</v>
      </c>
      <c r="H21" s="65">
        <v>0</v>
      </c>
      <c r="I21" s="6">
        <v>99999</v>
      </c>
      <c r="J21" s="30">
        <f>+H21+I21</f>
        <v>99999</v>
      </c>
    </row>
    <row r="22" spans="2:10" ht="12.75" x14ac:dyDescent="0.2">
      <c r="B22" s="49" t="s">
        <v>122</v>
      </c>
      <c r="C22" s="22">
        <v>8500</v>
      </c>
      <c r="D22" s="22"/>
      <c r="E22" s="22"/>
      <c r="F22" s="22"/>
      <c r="G22" s="30">
        <f t="shared" ref="G22:G33" si="0">+C22+D22-E22+F22</f>
        <v>8500</v>
      </c>
      <c r="H22" s="65"/>
      <c r="I22" s="6"/>
      <c r="J22" s="30">
        <f t="shared" ref="J22:J32" si="1">+H22+I22</f>
        <v>0</v>
      </c>
    </row>
    <row r="23" spans="2:10" ht="25.5" x14ac:dyDescent="0.2">
      <c r="B23" s="49" t="s">
        <v>112</v>
      </c>
      <c r="C23" s="22">
        <v>130000</v>
      </c>
      <c r="D23" s="22"/>
      <c r="E23" s="22"/>
      <c r="F23" s="22"/>
      <c r="G23" s="30">
        <f t="shared" si="0"/>
        <v>130000</v>
      </c>
      <c r="H23" s="65"/>
      <c r="I23" s="6"/>
      <c r="J23" s="30">
        <f t="shared" si="1"/>
        <v>0</v>
      </c>
    </row>
    <row r="24" spans="2:10" ht="25.5" x14ac:dyDescent="0.2">
      <c r="B24" s="49" t="s">
        <v>152</v>
      </c>
      <c r="C24" s="22"/>
      <c r="D24" s="6"/>
      <c r="E24" s="6"/>
      <c r="F24" s="6">
        <v>202127.76</v>
      </c>
      <c r="G24" s="30">
        <f t="shared" si="0"/>
        <v>202127.76</v>
      </c>
      <c r="H24" s="65"/>
      <c r="I24" s="6"/>
      <c r="J24" s="30"/>
    </row>
    <row r="25" spans="2:10" ht="25.5" x14ac:dyDescent="0.2">
      <c r="B25" s="49" t="s">
        <v>9</v>
      </c>
      <c r="C25" s="6"/>
      <c r="D25" s="6"/>
      <c r="E25" s="6"/>
      <c r="F25" s="6">
        <f>10080+162240</f>
        <v>172320</v>
      </c>
      <c r="G25" s="30">
        <f t="shared" si="0"/>
        <v>172320</v>
      </c>
      <c r="H25" s="65"/>
      <c r="I25" s="6">
        <v>10119.98</v>
      </c>
      <c r="J25" s="30">
        <f>+H25+I25</f>
        <v>10119.98</v>
      </c>
    </row>
    <row r="26" spans="2:10" ht="25.5" x14ac:dyDescent="0.2">
      <c r="B26" s="49" t="s">
        <v>123</v>
      </c>
      <c r="C26" s="6"/>
      <c r="D26" s="6"/>
      <c r="E26" s="6"/>
      <c r="F26" s="6"/>
      <c r="G26" s="30">
        <f t="shared" si="0"/>
        <v>0</v>
      </c>
      <c r="H26" s="65"/>
      <c r="I26" s="6"/>
      <c r="J26" s="30">
        <f t="shared" si="1"/>
        <v>0</v>
      </c>
    </row>
    <row r="27" spans="2:10" ht="25.5" x14ac:dyDescent="0.2">
      <c r="B27" s="49" t="s">
        <v>144</v>
      </c>
      <c r="C27" s="22"/>
      <c r="D27" s="22"/>
      <c r="E27" s="22"/>
      <c r="F27" s="22"/>
      <c r="G27" s="30">
        <f t="shared" si="0"/>
        <v>0</v>
      </c>
      <c r="H27" s="65"/>
      <c r="I27" s="23"/>
      <c r="J27" s="30">
        <f t="shared" si="1"/>
        <v>0</v>
      </c>
    </row>
    <row r="28" spans="2:10" ht="25.5" x14ac:dyDescent="0.2">
      <c r="B28" s="49" t="s">
        <v>145</v>
      </c>
      <c r="C28" s="22"/>
      <c r="D28" s="22"/>
      <c r="E28" s="22"/>
      <c r="F28" s="22">
        <v>340380</v>
      </c>
      <c r="G28" s="30">
        <f t="shared" si="0"/>
        <v>340380</v>
      </c>
      <c r="H28" s="65"/>
      <c r="I28" s="6"/>
      <c r="J28" s="30">
        <f t="shared" si="1"/>
        <v>0</v>
      </c>
    </row>
    <row r="29" spans="2:10" ht="12.75" x14ac:dyDescent="0.2">
      <c r="B29" s="49" t="s">
        <v>10</v>
      </c>
      <c r="C29" s="6"/>
      <c r="D29" s="24"/>
      <c r="E29" s="24"/>
      <c r="F29" s="24"/>
      <c r="G29" s="30">
        <f t="shared" si="0"/>
        <v>0</v>
      </c>
      <c r="H29" s="65"/>
      <c r="I29" s="6">
        <v>0</v>
      </c>
      <c r="J29" s="30">
        <f t="shared" si="1"/>
        <v>0</v>
      </c>
    </row>
    <row r="30" spans="2:10" ht="25.5" x14ac:dyDescent="0.2">
      <c r="B30" s="49" t="s">
        <v>101</v>
      </c>
      <c r="C30" s="6"/>
      <c r="D30" s="6"/>
      <c r="E30" s="6"/>
      <c r="F30" s="6"/>
      <c r="G30" s="30">
        <f t="shared" si="0"/>
        <v>0</v>
      </c>
      <c r="H30" s="65">
        <v>0</v>
      </c>
      <c r="I30" s="6">
        <v>0</v>
      </c>
      <c r="J30" s="30">
        <f t="shared" si="1"/>
        <v>0</v>
      </c>
    </row>
    <row r="31" spans="2:10" ht="25.5" x14ac:dyDescent="0.2">
      <c r="B31" s="49" t="s">
        <v>11</v>
      </c>
      <c r="C31" s="6"/>
      <c r="D31" s="6"/>
      <c r="E31" s="6"/>
      <c r="F31" s="6"/>
      <c r="G31" s="30">
        <f t="shared" si="0"/>
        <v>0</v>
      </c>
      <c r="H31" s="65">
        <v>0</v>
      </c>
      <c r="I31" s="6">
        <v>8336.14</v>
      </c>
      <c r="J31" s="30">
        <f t="shared" si="1"/>
        <v>8336.14</v>
      </c>
    </row>
    <row r="32" spans="2:10" ht="12.75" x14ac:dyDescent="0.2">
      <c r="B32" s="49" t="s">
        <v>113</v>
      </c>
      <c r="C32" s="6"/>
      <c r="D32" s="6"/>
      <c r="E32" s="6"/>
      <c r="F32" s="6"/>
      <c r="G32" s="30">
        <f t="shared" si="0"/>
        <v>0</v>
      </c>
      <c r="H32" s="65"/>
      <c r="I32" s="6"/>
      <c r="J32" s="30">
        <f t="shared" si="1"/>
        <v>0</v>
      </c>
    </row>
    <row r="33" spans="2:10" ht="12.75" x14ac:dyDescent="0.2">
      <c r="B33" s="49" t="s">
        <v>102</v>
      </c>
      <c r="C33" s="6"/>
      <c r="D33" s="6"/>
      <c r="E33" s="6"/>
      <c r="F33" s="6"/>
      <c r="G33" s="30">
        <f t="shared" si="0"/>
        <v>0</v>
      </c>
      <c r="H33" s="95"/>
      <c r="I33" s="93"/>
      <c r="J33" s="94"/>
    </row>
    <row r="34" spans="2:10" ht="13.5" thickBot="1" x14ac:dyDescent="0.25">
      <c r="B34" s="70" t="s">
        <v>12</v>
      </c>
      <c r="C34" s="31">
        <f t="shared" ref="C34" si="2">SUM(C20:C32)</f>
        <v>588500</v>
      </c>
      <c r="D34" s="31">
        <f t="shared" ref="D34:I34" si="3">SUM(D20:D32)</f>
        <v>0</v>
      </c>
      <c r="E34" s="31">
        <f t="shared" si="3"/>
        <v>0</v>
      </c>
      <c r="F34" s="31">
        <f t="shared" si="3"/>
        <v>714827.76</v>
      </c>
      <c r="G34" s="32">
        <f t="shared" si="3"/>
        <v>1303327.76</v>
      </c>
      <c r="H34" s="66">
        <f t="shared" si="3"/>
        <v>0</v>
      </c>
      <c r="I34" s="31">
        <f t="shared" si="3"/>
        <v>118455.12</v>
      </c>
      <c r="J34" s="32">
        <f>SUM(J21:J32)</f>
        <v>118455.12</v>
      </c>
    </row>
    <row r="35" spans="2:10" ht="12.75" x14ac:dyDescent="0.2">
      <c r="B35" s="8"/>
      <c r="C35" s="13"/>
      <c r="D35" s="13"/>
      <c r="E35" s="13"/>
      <c r="F35" s="13"/>
      <c r="G35" s="13"/>
      <c r="H35" s="13"/>
      <c r="I35" s="13"/>
      <c r="J35" s="13"/>
    </row>
    <row r="36" spans="2:10" ht="12.75" x14ac:dyDescent="0.2">
      <c r="B36" s="8"/>
      <c r="C36" s="13"/>
      <c r="D36" s="13"/>
      <c r="E36" s="13"/>
      <c r="F36" s="13"/>
      <c r="G36" s="13"/>
    </row>
    <row r="37" spans="2:10" ht="12.75" x14ac:dyDescent="0.2">
      <c r="B37" s="8"/>
      <c r="C37" s="13"/>
      <c r="D37" s="13"/>
      <c r="E37" s="13"/>
      <c r="F37" s="13"/>
      <c r="G37" s="13"/>
    </row>
    <row r="38" spans="2:10" x14ac:dyDescent="0.2">
      <c r="B38" s="108"/>
      <c r="C38" s="108"/>
      <c r="D38" s="108"/>
      <c r="E38" s="108"/>
      <c r="F38" s="108"/>
      <c r="G38" s="108"/>
    </row>
    <row r="39" spans="2:10" x14ac:dyDescent="0.2">
      <c r="B39" s="108"/>
      <c r="C39" s="108"/>
      <c r="D39" s="108"/>
      <c r="E39" s="108"/>
      <c r="F39" s="108"/>
      <c r="G39" s="108"/>
    </row>
    <row r="40" spans="2:10" x14ac:dyDescent="0.2">
      <c r="B40" s="108"/>
      <c r="C40" s="108"/>
      <c r="D40" s="108"/>
      <c r="E40" s="108"/>
      <c r="F40" s="108"/>
      <c r="G40" s="108"/>
    </row>
    <row r="41" spans="2:10" x14ac:dyDescent="0.2">
      <c r="B41" s="108"/>
      <c r="C41" s="108"/>
      <c r="D41" s="108"/>
      <c r="E41" s="108"/>
      <c r="F41" s="108"/>
      <c r="G41" s="108"/>
    </row>
    <row r="42" spans="2:10" x14ac:dyDescent="0.2">
      <c r="B42" s="108"/>
      <c r="C42" s="108"/>
      <c r="D42" s="108"/>
      <c r="E42" s="108"/>
      <c r="F42" s="108"/>
      <c r="G42" s="108"/>
    </row>
    <row r="43" spans="2:10" x14ac:dyDescent="0.2">
      <c r="B43" s="108"/>
      <c r="C43" s="108"/>
      <c r="D43" s="108"/>
      <c r="E43" s="108"/>
      <c r="F43" s="108"/>
      <c r="G43" s="108"/>
    </row>
    <row r="44" spans="2:10" x14ac:dyDescent="0.2">
      <c r="B44" s="108" t="s">
        <v>119</v>
      </c>
      <c r="C44" s="108"/>
      <c r="D44" s="108"/>
      <c r="E44" s="108"/>
      <c r="F44" s="108"/>
      <c r="G44" s="108"/>
      <c r="H44" s="3"/>
      <c r="I44" s="3"/>
      <c r="J44" s="3"/>
    </row>
    <row r="45" spans="2:10" x14ac:dyDescent="0.2">
      <c r="B45" s="108" t="s">
        <v>153</v>
      </c>
      <c r="C45" s="108"/>
      <c r="D45" s="108"/>
      <c r="E45" s="108"/>
      <c r="F45" s="108"/>
      <c r="G45" s="108"/>
      <c r="H45" s="3"/>
      <c r="I45" s="3"/>
      <c r="J45" s="3"/>
    </row>
    <row r="46" spans="2:10" x14ac:dyDescent="0.2">
      <c r="B46" s="108" t="s">
        <v>154</v>
      </c>
      <c r="C46" s="108"/>
      <c r="D46" s="108"/>
      <c r="E46" s="108"/>
      <c r="F46" s="108"/>
      <c r="G46" s="108"/>
      <c r="H46" s="3"/>
      <c r="I46" s="3"/>
      <c r="J46" s="3"/>
    </row>
    <row r="47" spans="2:10" x14ac:dyDescent="0.2">
      <c r="B47" s="108" t="s">
        <v>129</v>
      </c>
      <c r="C47" s="108"/>
      <c r="D47" s="108"/>
      <c r="E47" s="108"/>
      <c r="F47" s="108"/>
      <c r="G47" s="108"/>
      <c r="H47" s="3"/>
      <c r="I47" s="3"/>
      <c r="J47" s="3"/>
    </row>
    <row r="48" spans="2:10" x14ac:dyDescent="0.2">
      <c r="B48" s="108" t="s">
        <v>151</v>
      </c>
      <c r="C48" s="108"/>
      <c r="D48" s="108"/>
      <c r="E48" s="108"/>
      <c r="F48" s="108"/>
      <c r="G48" s="108"/>
      <c r="H48" s="3"/>
      <c r="I48" s="3"/>
      <c r="J48" s="3"/>
    </row>
    <row r="49" spans="1:7" x14ac:dyDescent="0.2">
      <c r="B49" s="108" t="s">
        <v>135</v>
      </c>
      <c r="C49" s="108"/>
      <c r="D49" s="108"/>
      <c r="E49" s="108"/>
      <c r="F49" s="108"/>
      <c r="G49" s="108"/>
    </row>
    <row r="50" spans="1:7" x14ac:dyDescent="0.2">
      <c r="B50" s="1"/>
      <c r="C50" s="4"/>
      <c r="D50" s="7"/>
      <c r="E50" s="7"/>
      <c r="F50" s="7"/>
      <c r="G50" s="7"/>
    </row>
    <row r="51" spans="1:7" ht="12.75" thickBot="1" x14ac:dyDescent="0.25">
      <c r="B51" s="115"/>
      <c r="C51" s="115"/>
      <c r="D51" s="115"/>
      <c r="E51" s="115"/>
      <c r="F51" s="115"/>
      <c r="G51" s="7"/>
    </row>
    <row r="52" spans="1:7" ht="12.75" thickBot="1" x14ac:dyDescent="0.25">
      <c r="B52" s="110" t="s">
        <v>13</v>
      </c>
      <c r="C52" s="111"/>
      <c r="D52" s="112" t="s">
        <v>1</v>
      </c>
      <c r="E52" s="113"/>
      <c r="F52" s="114"/>
      <c r="G52" s="7"/>
    </row>
    <row r="53" spans="1:7" ht="27.75" thickBot="1" x14ac:dyDescent="0.25">
      <c r="A53" s="10"/>
      <c r="B53" s="71" t="s">
        <v>2</v>
      </c>
      <c r="C53" s="46" t="s">
        <v>99</v>
      </c>
      <c r="D53" s="11" t="s">
        <v>3</v>
      </c>
      <c r="E53" s="12" t="s">
        <v>4</v>
      </c>
      <c r="F53" s="60" t="s">
        <v>100</v>
      </c>
      <c r="G53" s="12" t="s">
        <v>5</v>
      </c>
    </row>
    <row r="54" spans="1:7" x14ac:dyDescent="0.2">
      <c r="A54" s="72">
        <v>0</v>
      </c>
      <c r="B54" s="73" t="s">
        <v>14</v>
      </c>
      <c r="C54" s="61"/>
      <c r="D54" s="61"/>
      <c r="E54" s="61"/>
      <c r="F54" s="61"/>
      <c r="G54" s="62"/>
    </row>
    <row r="55" spans="1:7" x14ac:dyDescent="0.2">
      <c r="A55" s="74">
        <v>11</v>
      </c>
      <c r="B55" s="75" t="s">
        <v>15</v>
      </c>
      <c r="C55" s="76">
        <f>3400*12</f>
        <v>40800</v>
      </c>
      <c r="D55" s="5"/>
      <c r="E55" s="5"/>
      <c r="F55" s="5"/>
      <c r="G55" s="63">
        <f>+C55+D55-E55+F55</f>
        <v>40800</v>
      </c>
    </row>
    <row r="56" spans="1:7" ht="22.5" x14ac:dyDescent="0.2">
      <c r="A56" s="74">
        <v>15</v>
      </c>
      <c r="B56" s="75" t="s">
        <v>16</v>
      </c>
      <c r="C56" s="76">
        <f>250*12</f>
        <v>3000</v>
      </c>
      <c r="D56" s="5"/>
      <c r="E56" s="5"/>
      <c r="F56" s="5"/>
      <c r="G56" s="63">
        <f t="shared" ref="G56:G119" si="4">+C56+D56-E56+F56</f>
        <v>3000</v>
      </c>
    </row>
    <row r="57" spans="1:7" x14ac:dyDescent="0.2">
      <c r="A57" s="74">
        <v>22</v>
      </c>
      <c r="B57" s="75" t="s">
        <v>17</v>
      </c>
      <c r="C57" s="76"/>
      <c r="D57" s="5"/>
      <c r="E57" s="5"/>
      <c r="F57" s="5"/>
      <c r="G57" s="63">
        <f t="shared" si="4"/>
        <v>0</v>
      </c>
    </row>
    <row r="58" spans="1:7" ht="22.5" x14ac:dyDescent="0.2">
      <c r="A58" s="74">
        <v>27</v>
      </c>
      <c r="B58" s="75" t="s">
        <v>18</v>
      </c>
      <c r="C58" s="76"/>
      <c r="D58" s="5"/>
      <c r="E58" s="5"/>
      <c r="F58" s="5"/>
      <c r="G58" s="63">
        <f t="shared" si="4"/>
        <v>0</v>
      </c>
    </row>
    <row r="59" spans="1:7" x14ac:dyDescent="0.2">
      <c r="A59" s="74">
        <v>51</v>
      </c>
      <c r="B59" s="75" t="s">
        <v>19</v>
      </c>
      <c r="C59" s="76">
        <v>4353.3599999999997</v>
      </c>
      <c r="D59" s="5"/>
      <c r="E59" s="5"/>
      <c r="F59" s="5"/>
      <c r="G59" s="63">
        <f t="shared" si="4"/>
        <v>4353.3599999999997</v>
      </c>
    </row>
    <row r="60" spans="1:7" x14ac:dyDescent="0.2">
      <c r="A60" s="74">
        <v>61</v>
      </c>
      <c r="B60" s="75" t="s">
        <v>20</v>
      </c>
      <c r="C60" s="76"/>
      <c r="D60" s="5"/>
      <c r="E60" s="5"/>
      <c r="F60" s="5">
        <v>117420</v>
      </c>
      <c r="G60" s="63">
        <f t="shared" si="4"/>
        <v>117420</v>
      </c>
    </row>
    <row r="61" spans="1:7" x14ac:dyDescent="0.2">
      <c r="A61" s="74">
        <v>63</v>
      </c>
      <c r="B61" s="75" t="s">
        <v>138</v>
      </c>
      <c r="C61" s="76"/>
      <c r="D61" s="5"/>
      <c r="E61" s="5"/>
      <c r="F61" s="5">
        <v>54000</v>
      </c>
      <c r="G61" s="63">
        <f t="shared" si="4"/>
        <v>54000</v>
      </c>
    </row>
    <row r="62" spans="1:7" x14ac:dyDescent="0.2">
      <c r="A62" s="74" t="s">
        <v>73</v>
      </c>
      <c r="B62" s="75" t="s">
        <v>21</v>
      </c>
      <c r="C62" s="76">
        <v>3400</v>
      </c>
      <c r="D62" s="5"/>
      <c r="E62" s="5"/>
      <c r="F62" s="5"/>
      <c r="G62" s="63">
        <f t="shared" si="4"/>
        <v>3400</v>
      </c>
    </row>
    <row r="63" spans="1:7" ht="22.5" x14ac:dyDescent="0.2">
      <c r="A63" s="74">
        <v>72</v>
      </c>
      <c r="B63" s="75" t="s">
        <v>22</v>
      </c>
      <c r="C63" s="76">
        <v>3400</v>
      </c>
      <c r="D63" s="5"/>
      <c r="E63" s="5"/>
      <c r="F63" s="5">
        <v>124</v>
      </c>
      <c r="G63" s="63">
        <f t="shared" si="4"/>
        <v>3524</v>
      </c>
    </row>
    <row r="64" spans="1:7" x14ac:dyDescent="0.2">
      <c r="A64" s="77" t="s">
        <v>74</v>
      </c>
      <c r="B64" s="75" t="s">
        <v>23</v>
      </c>
      <c r="C64" s="76"/>
      <c r="D64" s="5"/>
      <c r="E64" s="5"/>
      <c r="F64" s="5">
        <v>1700</v>
      </c>
      <c r="G64" s="63">
        <f t="shared" si="4"/>
        <v>1700</v>
      </c>
    </row>
    <row r="65" spans="1:7" x14ac:dyDescent="0.2">
      <c r="A65" s="78" t="s">
        <v>75</v>
      </c>
      <c r="B65" s="79" t="s">
        <v>24</v>
      </c>
      <c r="C65" s="5"/>
      <c r="D65" s="5"/>
      <c r="E65" s="5"/>
      <c r="F65" s="5"/>
      <c r="G65" s="63">
        <f t="shared" si="4"/>
        <v>0</v>
      </c>
    </row>
    <row r="66" spans="1:7" x14ac:dyDescent="0.2">
      <c r="A66" s="74">
        <v>111</v>
      </c>
      <c r="B66" s="75" t="s">
        <v>25</v>
      </c>
      <c r="C66" s="5">
        <v>1000</v>
      </c>
      <c r="D66" s="5"/>
      <c r="E66" s="5">
        <v>1000</v>
      </c>
      <c r="F66" s="5"/>
      <c r="G66" s="63">
        <f t="shared" si="4"/>
        <v>0</v>
      </c>
    </row>
    <row r="67" spans="1:7" x14ac:dyDescent="0.2">
      <c r="A67" s="74">
        <v>112</v>
      </c>
      <c r="B67" s="75" t="s">
        <v>26</v>
      </c>
      <c r="C67" s="5"/>
      <c r="D67" s="5"/>
      <c r="E67" s="5"/>
      <c r="F67" s="5"/>
      <c r="G67" s="63">
        <f t="shared" si="4"/>
        <v>0</v>
      </c>
    </row>
    <row r="68" spans="1:7" x14ac:dyDescent="0.2">
      <c r="A68" s="74">
        <v>113</v>
      </c>
      <c r="B68" s="75" t="s">
        <v>27</v>
      </c>
      <c r="C68" s="5">
        <v>1500</v>
      </c>
      <c r="D68" s="5"/>
      <c r="E68" s="5">
        <v>1500</v>
      </c>
      <c r="F68" s="5"/>
      <c r="G68" s="63">
        <f t="shared" si="4"/>
        <v>0</v>
      </c>
    </row>
    <row r="69" spans="1:7" x14ac:dyDescent="0.2">
      <c r="A69" s="74">
        <v>114</v>
      </c>
      <c r="B69" s="75" t="s">
        <v>28</v>
      </c>
      <c r="C69" s="5"/>
      <c r="D69" s="5"/>
      <c r="E69" s="5"/>
      <c r="F69" s="5"/>
      <c r="G69" s="63">
        <f t="shared" si="4"/>
        <v>0</v>
      </c>
    </row>
    <row r="70" spans="1:7" ht="22.5" x14ac:dyDescent="0.2">
      <c r="A70" s="74">
        <v>115</v>
      </c>
      <c r="B70" s="75" t="s">
        <v>29</v>
      </c>
      <c r="C70" s="5">
        <v>600</v>
      </c>
      <c r="D70" s="5"/>
      <c r="E70" s="5"/>
      <c r="F70" s="5"/>
      <c r="G70" s="63">
        <f t="shared" si="4"/>
        <v>600</v>
      </c>
    </row>
    <row r="71" spans="1:7" x14ac:dyDescent="0.2">
      <c r="A71" s="74">
        <v>121</v>
      </c>
      <c r="B71" s="75" t="s">
        <v>30</v>
      </c>
      <c r="C71" s="5"/>
      <c r="D71" s="5"/>
      <c r="E71" s="5"/>
      <c r="F71" s="5">
        <v>2100</v>
      </c>
      <c r="G71" s="63">
        <f t="shared" si="4"/>
        <v>2100</v>
      </c>
    </row>
    <row r="72" spans="1:7" x14ac:dyDescent="0.2">
      <c r="A72" s="74">
        <v>122</v>
      </c>
      <c r="B72" s="75" t="s">
        <v>111</v>
      </c>
      <c r="C72" s="5"/>
      <c r="D72" s="5"/>
      <c r="E72" s="5"/>
      <c r="F72" s="5"/>
      <c r="G72" s="63">
        <f t="shared" si="4"/>
        <v>0</v>
      </c>
    </row>
    <row r="73" spans="1:7" x14ac:dyDescent="0.2">
      <c r="A73" s="54">
        <v>131</v>
      </c>
      <c r="B73" s="44" t="s">
        <v>31</v>
      </c>
      <c r="C73" s="19"/>
      <c r="D73" s="19"/>
      <c r="E73" s="19"/>
      <c r="F73" s="19">
        <f>29837.5+6767.38+59675+6777.38</f>
        <v>103057.26000000001</v>
      </c>
      <c r="G73" s="63">
        <f t="shared" si="4"/>
        <v>103057.26000000001</v>
      </c>
    </row>
    <row r="74" spans="1:7" x14ac:dyDescent="0.2">
      <c r="A74" s="74" t="s">
        <v>76</v>
      </c>
      <c r="B74" s="75" t="s">
        <v>32</v>
      </c>
      <c r="C74" s="5">
        <v>8500</v>
      </c>
      <c r="D74" s="5"/>
      <c r="E74" s="5">
        <v>8500</v>
      </c>
      <c r="F74" s="5">
        <f>15500+60752.025+33771.25+98286.22</f>
        <v>208309.495</v>
      </c>
      <c r="G74" s="63">
        <f t="shared" si="4"/>
        <v>208309.495</v>
      </c>
    </row>
    <row r="75" spans="1:7" x14ac:dyDescent="0.2">
      <c r="A75" s="74" t="s">
        <v>77</v>
      </c>
      <c r="B75" s="75" t="s">
        <v>33</v>
      </c>
      <c r="C75" s="5">
        <v>20800</v>
      </c>
      <c r="D75" s="5"/>
      <c r="E75" s="5"/>
      <c r="F75" s="5">
        <v>5200</v>
      </c>
      <c r="G75" s="63">
        <f t="shared" si="4"/>
        <v>26000</v>
      </c>
    </row>
    <row r="76" spans="1:7" ht="22.5" x14ac:dyDescent="0.2">
      <c r="A76" s="74">
        <v>151</v>
      </c>
      <c r="B76" s="75" t="s">
        <v>34</v>
      </c>
      <c r="C76" s="5">
        <v>60000</v>
      </c>
      <c r="D76" s="5"/>
      <c r="E76" s="5">
        <v>60000</v>
      </c>
      <c r="F76" s="5"/>
      <c r="G76" s="63">
        <f t="shared" si="4"/>
        <v>0</v>
      </c>
    </row>
    <row r="77" spans="1:7" ht="22.5" x14ac:dyDescent="0.2">
      <c r="A77" s="74">
        <v>152</v>
      </c>
      <c r="B77" s="75" t="s">
        <v>35</v>
      </c>
      <c r="C77" s="5"/>
      <c r="D77" s="5"/>
      <c r="E77" s="5"/>
      <c r="F77" s="5"/>
      <c r="G77" s="63">
        <f t="shared" si="4"/>
        <v>0</v>
      </c>
    </row>
    <row r="78" spans="1:7" ht="22.5" x14ac:dyDescent="0.2">
      <c r="A78" s="74">
        <v>153</v>
      </c>
      <c r="B78" s="75" t="s">
        <v>36</v>
      </c>
      <c r="C78" s="5">
        <v>40320</v>
      </c>
      <c r="D78" s="5"/>
      <c r="E78" s="5">
        <v>40000</v>
      </c>
      <c r="F78" s="5"/>
      <c r="G78" s="63">
        <f t="shared" si="4"/>
        <v>320</v>
      </c>
    </row>
    <row r="79" spans="1:7" ht="22.5" x14ac:dyDescent="0.2">
      <c r="A79" s="74">
        <v>155</v>
      </c>
      <c r="B79" s="75" t="s">
        <v>37</v>
      </c>
      <c r="C79" s="5"/>
      <c r="D79" s="5"/>
      <c r="E79" s="5"/>
      <c r="F79" s="5"/>
      <c r="G79" s="63">
        <f t="shared" si="4"/>
        <v>0</v>
      </c>
    </row>
    <row r="80" spans="1:7" ht="22.5" x14ac:dyDescent="0.2">
      <c r="A80" s="74">
        <v>156</v>
      </c>
      <c r="B80" s="75" t="s">
        <v>132</v>
      </c>
      <c r="C80" s="5"/>
      <c r="D80" s="5"/>
      <c r="E80" s="5"/>
      <c r="F80" s="5"/>
      <c r="G80" s="63">
        <f t="shared" si="4"/>
        <v>0</v>
      </c>
    </row>
    <row r="81" spans="1:7" ht="22.5" x14ac:dyDescent="0.2">
      <c r="A81" s="74">
        <v>161</v>
      </c>
      <c r="B81" s="75" t="s">
        <v>78</v>
      </c>
      <c r="C81" s="5"/>
      <c r="D81" s="5"/>
      <c r="E81" s="5"/>
      <c r="F81" s="5"/>
      <c r="G81" s="63">
        <f t="shared" si="4"/>
        <v>0</v>
      </c>
    </row>
    <row r="82" spans="1:7" ht="22.5" x14ac:dyDescent="0.2">
      <c r="A82" s="74">
        <v>164</v>
      </c>
      <c r="B82" s="75" t="s">
        <v>38</v>
      </c>
      <c r="C82" s="5"/>
      <c r="D82" s="5"/>
      <c r="E82" s="5"/>
      <c r="F82" s="5"/>
      <c r="G82" s="63">
        <f t="shared" si="4"/>
        <v>0</v>
      </c>
    </row>
    <row r="83" spans="1:7" ht="22.5" x14ac:dyDescent="0.2">
      <c r="A83" s="74" t="s">
        <v>79</v>
      </c>
      <c r="B83" s="75" t="s">
        <v>39</v>
      </c>
      <c r="C83" s="5"/>
      <c r="D83" s="5"/>
      <c r="E83" s="5"/>
      <c r="F83" s="5"/>
      <c r="G83" s="63">
        <f t="shared" si="4"/>
        <v>0</v>
      </c>
    </row>
    <row r="84" spans="1:7" ht="22.5" x14ac:dyDescent="0.2">
      <c r="A84" s="74">
        <v>169</v>
      </c>
      <c r="B84" s="75" t="s">
        <v>80</v>
      </c>
      <c r="C84" s="5"/>
      <c r="D84" s="5"/>
      <c r="E84" s="5"/>
      <c r="F84" s="5"/>
      <c r="G84" s="63">
        <f t="shared" si="4"/>
        <v>0</v>
      </c>
    </row>
    <row r="85" spans="1:7" ht="22.5" x14ac:dyDescent="0.2">
      <c r="A85" s="74">
        <v>182</v>
      </c>
      <c r="B85" s="75" t="s">
        <v>81</v>
      </c>
      <c r="C85" s="5"/>
      <c r="D85" s="5"/>
      <c r="E85" s="5"/>
      <c r="F85" s="5"/>
      <c r="G85" s="63">
        <f t="shared" si="4"/>
        <v>0</v>
      </c>
    </row>
    <row r="86" spans="1:7" x14ac:dyDescent="0.2">
      <c r="A86" s="74">
        <v>183</v>
      </c>
      <c r="B86" s="75" t="s">
        <v>40</v>
      </c>
      <c r="C86" s="5"/>
      <c r="D86" s="5"/>
      <c r="E86" s="5"/>
      <c r="F86" s="5"/>
      <c r="G86" s="63">
        <f t="shared" si="4"/>
        <v>0</v>
      </c>
    </row>
    <row r="87" spans="1:7" x14ac:dyDescent="0.2">
      <c r="A87" s="74">
        <v>185</v>
      </c>
      <c r="B87" s="75" t="s">
        <v>41</v>
      </c>
      <c r="C87" s="5"/>
      <c r="D87" s="5"/>
      <c r="E87" s="5"/>
      <c r="F87" s="5"/>
      <c r="G87" s="63">
        <f t="shared" si="4"/>
        <v>0</v>
      </c>
    </row>
    <row r="88" spans="1:7" ht="22.5" x14ac:dyDescent="0.2">
      <c r="A88" s="74">
        <v>186</v>
      </c>
      <c r="B88" s="75" t="s">
        <v>42</v>
      </c>
      <c r="C88" s="5">
        <v>24320</v>
      </c>
      <c r="D88" s="5"/>
      <c r="E88" s="5"/>
      <c r="F88" s="5">
        <f>25500+7000</f>
        <v>32500</v>
      </c>
      <c r="G88" s="63">
        <f t="shared" si="4"/>
        <v>56820</v>
      </c>
    </row>
    <row r="89" spans="1:7" ht="22.5" x14ac:dyDescent="0.2">
      <c r="A89" s="74">
        <v>187</v>
      </c>
      <c r="B89" s="75" t="s">
        <v>139</v>
      </c>
      <c r="C89" s="5"/>
      <c r="D89" s="5"/>
      <c r="E89" s="5"/>
      <c r="F89" s="5"/>
      <c r="G89" s="63">
        <f t="shared" si="4"/>
        <v>0</v>
      </c>
    </row>
    <row r="90" spans="1:7" ht="22.5" x14ac:dyDescent="0.2">
      <c r="A90" s="74">
        <v>189</v>
      </c>
      <c r="B90" s="75" t="s">
        <v>43</v>
      </c>
      <c r="C90" s="5">
        <v>93234.94</v>
      </c>
      <c r="D90" s="5"/>
      <c r="E90" s="5"/>
      <c r="F90" s="5">
        <f>31000+10500</f>
        <v>41500</v>
      </c>
      <c r="G90" s="63">
        <f t="shared" si="4"/>
        <v>134734.94</v>
      </c>
    </row>
    <row r="91" spans="1:7" ht="22.5" x14ac:dyDescent="0.2">
      <c r="A91" s="74">
        <v>191</v>
      </c>
      <c r="B91" s="75" t="s">
        <v>82</v>
      </c>
      <c r="C91" s="5">
        <v>2400</v>
      </c>
      <c r="D91" s="5"/>
      <c r="E91" s="5"/>
      <c r="F91" s="5">
        <f>1627.5+2929.5</f>
        <v>4557</v>
      </c>
      <c r="G91" s="63">
        <f t="shared" si="4"/>
        <v>6957</v>
      </c>
    </row>
    <row r="92" spans="1:7" ht="22.5" x14ac:dyDescent="0.2">
      <c r="A92" s="74" t="s">
        <v>83</v>
      </c>
      <c r="B92" s="75" t="s">
        <v>84</v>
      </c>
      <c r="C92" s="5"/>
      <c r="D92" s="5"/>
      <c r="E92" s="5"/>
      <c r="F92" s="5"/>
      <c r="G92" s="63">
        <f t="shared" si="4"/>
        <v>0</v>
      </c>
    </row>
    <row r="93" spans="1:7" ht="22.5" x14ac:dyDescent="0.2">
      <c r="A93" s="74">
        <f>195</f>
        <v>195</v>
      </c>
      <c r="B93" s="75" t="s">
        <v>85</v>
      </c>
      <c r="C93" s="5">
        <v>28767.7</v>
      </c>
      <c r="D93" s="5"/>
      <c r="E93" s="5">
        <v>25000</v>
      </c>
      <c r="F93" s="5"/>
      <c r="G93" s="63">
        <f t="shared" si="4"/>
        <v>3767.7000000000007</v>
      </c>
    </row>
    <row r="94" spans="1:7" ht="22.5" x14ac:dyDescent="0.2">
      <c r="A94" s="74">
        <v>196</v>
      </c>
      <c r="B94" s="75" t="s">
        <v>44</v>
      </c>
      <c r="C94" s="5"/>
      <c r="D94" s="5"/>
      <c r="E94" s="5"/>
      <c r="F94" s="5">
        <v>35000</v>
      </c>
      <c r="G94" s="63">
        <f t="shared" si="4"/>
        <v>35000</v>
      </c>
    </row>
    <row r="95" spans="1:7" x14ac:dyDescent="0.2">
      <c r="A95" s="74">
        <v>197</v>
      </c>
      <c r="B95" s="75" t="s">
        <v>45</v>
      </c>
      <c r="C95" s="5">
        <v>4704</v>
      </c>
      <c r="D95" s="5"/>
      <c r="E95" s="5"/>
      <c r="F95" s="5">
        <v>5000</v>
      </c>
      <c r="G95" s="63">
        <f t="shared" si="4"/>
        <v>9704</v>
      </c>
    </row>
    <row r="96" spans="1:7" ht="22.5" x14ac:dyDescent="0.2">
      <c r="A96" s="74">
        <v>199</v>
      </c>
      <c r="B96" s="80" t="s">
        <v>46</v>
      </c>
      <c r="C96" s="5"/>
      <c r="D96" s="5"/>
      <c r="E96" s="5"/>
      <c r="F96" s="5">
        <f>5500+10000</f>
        <v>15500</v>
      </c>
      <c r="G96" s="63">
        <f t="shared" si="4"/>
        <v>15500</v>
      </c>
    </row>
    <row r="97" spans="1:7" ht="21" customHeight="1" x14ac:dyDescent="0.2">
      <c r="A97" s="74" t="s">
        <v>86</v>
      </c>
      <c r="B97" s="75" t="s">
        <v>47</v>
      </c>
      <c r="C97" s="5"/>
      <c r="D97" s="5"/>
      <c r="E97" s="5"/>
      <c r="F97" s="5"/>
      <c r="G97" s="63">
        <f t="shared" si="4"/>
        <v>0</v>
      </c>
    </row>
    <row r="98" spans="1:7" ht="21" customHeight="1" x14ac:dyDescent="0.2">
      <c r="A98" s="74">
        <v>211</v>
      </c>
      <c r="B98" s="75" t="s">
        <v>48</v>
      </c>
      <c r="C98" s="5">
        <v>6700</v>
      </c>
      <c r="D98" s="5"/>
      <c r="E98" s="5"/>
      <c r="F98" s="5">
        <f>2500+15000</f>
        <v>17500</v>
      </c>
      <c r="G98" s="63">
        <f t="shared" si="4"/>
        <v>24200</v>
      </c>
    </row>
    <row r="99" spans="1:7" ht="24.75" customHeight="1" x14ac:dyDescent="0.2">
      <c r="A99" s="74" t="s">
        <v>87</v>
      </c>
      <c r="B99" s="75" t="s">
        <v>49</v>
      </c>
      <c r="C99" s="5">
        <v>12000</v>
      </c>
      <c r="D99" s="5">
        <f>25000+30000</f>
        <v>55000</v>
      </c>
      <c r="E99" s="5"/>
      <c r="F99" s="5">
        <v>25000</v>
      </c>
      <c r="G99" s="63">
        <f t="shared" si="4"/>
        <v>92000</v>
      </c>
    </row>
    <row r="100" spans="1:7" ht="21" customHeight="1" x14ac:dyDescent="0.2">
      <c r="A100" s="74" t="s">
        <v>88</v>
      </c>
      <c r="B100" s="75" t="s">
        <v>50</v>
      </c>
      <c r="C100" s="5">
        <v>3500</v>
      </c>
      <c r="D100" s="5"/>
      <c r="E100" s="5"/>
      <c r="F100" s="5"/>
      <c r="G100" s="63">
        <f t="shared" si="4"/>
        <v>3500</v>
      </c>
    </row>
    <row r="101" spans="1:7" ht="21" customHeight="1" x14ac:dyDescent="0.2">
      <c r="A101" s="74" t="s">
        <v>89</v>
      </c>
      <c r="B101" s="75" t="s">
        <v>51</v>
      </c>
      <c r="C101" s="5"/>
      <c r="D101" s="5">
        <v>500</v>
      </c>
      <c r="E101" s="5"/>
      <c r="F101" s="5"/>
      <c r="G101" s="63">
        <f t="shared" si="4"/>
        <v>500</v>
      </c>
    </row>
    <row r="102" spans="1:7" x14ac:dyDescent="0.2">
      <c r="A102" s="74">
        <v>245</v>
      </c>
      <c r="B102" s="75" t="s">
        <v>114</v>
      </c>
      <c r="C102" s="5"/>
      <c r="D102" s="5"/>
      <c r="E102" s="5"/>
      <c r="F102" s="5"/>
      <c r="G102" s="63">
        <f t="shared" si="4"/>
        <v>0</v>
      </c>
    </row>
    <row r="103" spans="1:7" x14ac:dyDescent="0.2">
      <c r="A103" s="74">
        <v>247</v>
      </c>
      <c r="B103" s="75" t="s">
        <v>52</v>
      </c>
      <c r="C103" s="5"/>
      <c r="D103" s="5"/>
      <c r="E103" s="5"/>
      <c r="F103" s="5">
        <v>3500</v>
      </c>
      <c r="G103" s="63">
        <f t="shared" si="4"/>
        <v>3500</v>
      </c>
    </row>
    <row r="104" spans="1:7" x14ac:dyDescent="0.2">
      <c r="A104" s="74">
        <v>249</v>
      </c>
      <c r="B104" s="81" t="s">
        <v>140</v>
      </c>
      <c r="C104" s="5"/>
      <c r="D104" s="5"/>
      <c r="E104" s="5"/>
      <c r="F104" s="5"/>
      <c r="G104" s="63">
        <f t="shared" si="4"/>
        <v>0</v>
      </c>
    </row>
    <row r="105" spans="1:7" x14ac:dyDescent="0.2">
      <c r="A105" s="74">
        <v>262</v>
      </c>
      <c r="B105" s="75" t="s">
        <v>53</v>
      </c>
      <c r="C105" s="5"/>
      <c r="D105" s="5"/>
      <c r="E105" s="5"/>
      <c r="F105" s="5"/>
      <c r="G105" s="63">
        <f t="shared" si="4"/>
        <v>0</v>
      </c>
    </row>
    <row r="106" spans="1:7" ht="22.5" x14ac:dyDescent="0.2">
      <c r="A106" s="74">
        <v>266</v>
      </c>
      <c r="B106" s="75" t="s">
        <v>54</v>
      </c>
      <c r="C106" s="5"/>
      <c r="D106" s="5"/>
      <c r="E106" s="5"/>
      <c r="F106" s="5"/>
      <c r="G106" s="63">
        <f t="shared" si="4"/>
        <v>0</v>
      </c>
    </row>
    <row r="107" spans="1:7" ht="22.5" x14ac:dyDescent="0.2">
      <c r="A107" s="74" t="s">
        <v>90</v>
      </c>
      <c r="B107" s="75" t="s">
        <v>55</v>
      </c>
      <c r="C107" s="5"/>
      <c r="D107" s="5"/>
      <c r="E107" s="5"/>
      <c r="F107" s="5"/>
      <c r="G107" s="63">
        <f t="shared" si="4"/>
        <v>0</v>
      </c>
    </row>
    <row r="108" spans="1:7" ht="24" customHeight="1" x14ac:dyDescent="0.2">
      <c r="A108" s="74">
        <v>268</v>
      </c>
      <c r="B108" s="44" t="s">
        <v>56</v>
      </c>
      <c r="C108" s="19">
        <v>5500</v>
      </c>
      <c r="D108" s="19"/>
      <c r="E108" s="19"/>
      <c r="F108" s="19"/>
      <c r="G108" s="63">
        <f t="shared" si="4"/>
        <v>5500</v>
      </c>
    </row>
    <row r="109" spans="1:7" x14ac:dyDescent="0.2">
      <c r="A109" s="74">
        <v>283</v>
      </c>
      <c r="B109" s="75" t="s">
        <v>57</v>
      </c>
      <c r="C109" s="5"/>
      <c r="D109" s="5"/>
      <c r="E109" s="5"/>
      <c r="F109" s="5"/>
      <c r="G109" s="63">
        <f t="shared" si="4"/>
        <v>0</v>
      </c>
    </row>
    <row r="110" spans="1:7" x14ac:dyDescent="0.2">
      <c r="A110" s="74" t="s">
        <v>91</v>
      </c>
      <c r="B110" s="75" t="s">
        <v>58</v>
      </c>
      <c r="C110" s="5">
        <v>1500</v>
      </c>
      <c r="D110" s="5"/>
      <c r="E110" s="5"/>
      <c r="F110" s="5"/>
      <c r="G110" s="63">
        <f t="shared" si="4"/>
        <v>1500</v>
      </c>
    </row>
    <row r="111" spans="1:7" ht="22.5" x14ac:dyDescent="0.2">
      <c r="A111" s="74" t="s">
        <v>92</v>
      </c>
      <c r="B111" s="44" t="s">
        <v>59</v>
      </c>
      <c r="C111" s="19">
        <v>4800</v>
      </c>
      <c r="D111" s="19"/>
      <c r="E111" s="19"/>
      <c r="F111" s="19"/>
      <c r="G111" s="63">
        <f t="shared" si="4"/>
        <v>4800</v>
      </c>
    </row>
    <row r="112" spans="1:7" ht="22.5" x14ac:dyDescent="0.2">
      <c r="A112" s="74">
        <v>294</v>
      </c>
      <c r="B112" s="44" t="s">
        <v>60</v>
      </c>
      <c r="C112" s="19"/>
      <c r="D112" s="19">
        <f>60000+20500</f>
        <v>80500</v>
      </c>
      <c r="E112" s="19"/>
      <c r="F112" s="19">
        <f>995+25000</f>
        <v>25995</v>
      </c>
      <c r="G112" s="63">
        <f t="shared" si="4"/>
        <v>106495</v>
      </c>
    </row>
    <row r="113" spans="1:7" ht="22.5" x14ac:dyDescent="0.2">
      <c r="A113" s="74">
        <v>297</v>
      </c>
      <c r="B113" s="44" t="s">
        <v>147</v>
      </c>
      <c r="C113" s="19"/>
      <c r="D113" s="19"/>
      <c r="E113" s="19"/>
      <c r="F113" s="19"/>
      <c r="G113" s="63">
        <f t="shared" si="4"/>
        <v>0</v>
      </c>
    </row>
    <row r="114" spans="1:7" ht="22.5" x14ac:dyDescent="0.2">
      <c r="A114" s="74" t="s">
        <v>93</v>
      </c>
      <c r="B114" s="44" t="s">
        <v>61</v>
      </c>
      <c r="C114" s="19">
        <v>6000</v>
      </c>
      <c r="D114" s="19"/>
      <c r="E114" s="19"/>
      <c r="F114" s="19"/>
      <c r="G114" s="63">
        <f t="shared" si="4"/>
        <v>6000</v>
      </c>
    </row>
    <row r="115" spans="1:7" x14ac:dyDescent="0.2">
      <c r="A115" s="78" t="s">
        <v>94</v>
      </c>
      <c r="B115" s="79" t="s">
        <v>62</v>
      </c>
      <c r="C115" s="5"/>
      <c r="D115" s="5"/>
      <c r="E115" s="5"/>
      <c r="F115" s="5"/>
      <c r="G115" s="63">
        <f t="shared" si="4"/>
        <v>0</v>
      </c>
    </row>
    <row r="116" spans="1:7" x14ac:dyDescent="0.2">
      <c r="A116" s="74">
        <v>322</v>
      </c>
      <c r="B116" s="75" t="s">
        <v>63</v>
      </c>
      <c r="C116" s="5">
        <v>2500</v>
      </c>
      <c r="D116" s="5"/>
      <c r="E116" s="5"/>
      <c r="F116" s="5"/>
      <c r="G116" s="63">
        <f t="shared" si="4"/>
        <v>2500</v>
      </c>
    </row>
    <row r="117" spans="1:7" ht="22.5" x14ac:dyDescent="0.2">
      <c r="A117" s="74">
        <v>324</v>
      </c>
      <c r="B117" s="75" t="s">
        <v>72</v>
      </c>
      <c r="C117" s="5"/>
      <c r="D117" s="5"/>
      <c r="E117" s="5"/>
      <c r="F117" s="5"/>
      <c r="G117" s="63">
        <f t="shared" si="4"/>
        <v>0</v>
      </c>
    </row>
    <row r="118" spans="1:7" x14ac:dyDescent="0.2">
      <c r="A118" s="74">
        <v>328</v>
      </c>
      <c r="B118" s="75" t="s">
        <v>64</v>
      </c>
      <c r="C118" s="5"/>
      <c r="D118" s="5"/>
      <c r="E118" s="5"/>
      <c r="F118" s="5"/>
      <c r="G118" s="63">
        <f t="shared" si="4"/>
        <v>0</v>
      </c>
    </row>
    <row r="119" spans="1:7" x14ac:dyDescent="0.2">
      <c r="A119" s="78" t="s">
        <v>95</v>
      </c>
      <c r="B119" s="79" t="s">
        <v>65</v>
      </c>
      <c r="C119" s="5"/>
      <c r="D119" s="5"/>
      <c r="E119" s="5"/>
      <c r="F119" s="5"/>
      <c r="G119" s="63">
        <f t="shared" si="4"/>
        <v>0</v>
      </c>
    </row>
    <row r="120" spans="1:7" ht="22.5" x14ac:dyDescent="0.2">
      <c r="A120" s="74" t="s">
        <v>96</v>
      </c>
      <c r="B120" s="75" t="s">
        <v>66</v>
      </c>
      <c r="C120" s="5"/>
      <c r="D120" s="5"/>
      <c r="E120" s="5"/>
      <c r="F120" s="5"/>
      <c r="G120" s="63">
        <f t="shared" ref="G120:G138" si="5">+C120+D120-E120+F120</f>
        <v>0</v>
      </c>
    </row>
    <row r="121" spans="1:7" ht="22.5" x14ac:dyDescent="0.2">
      <c r="A121" s="74">
        <v>415</v>
      </c>
      <c r="B121" s="75" t="s">
        <v>67</v>
      </c>
      <c r="C121" s="5"/>
      <c r="D121" s="5"/>
      <c r="E121" s="5"/>
      <c r="F121" s="5"/>
      <c r="G121" s="63">
        <f t="shared" si="5"/>
        <v>0</v>
      </c>
    </row>
    <row r="122" spans="1:7" ht="22.5" x14ac:dyDescent="0.2">
      <c r="A122" s="74">
        <v>419</v>
      </c>
      <c r="B122" s="75" t="s">
        <v>68</v>
      </c>
      <c r="C122" s="5">
        <v>28000</v>
      </c>
      <c r="D122" s="5"/>
      <c r="E122" s="5"/>
      <c r="F122" s="5">
        <f>18785+580</f>
        <v>19365</v>
      </c>
      <c r="G122" s="63">
        <f t="shared" si="5"/>
        <v>47365</v>
      </c>
    </row>
    <row r="123" spans="1:7" ht="33.75" x14ac:dyDescent="0.2">
      <c r="A123" s="74">
        <v>472</v>
      </c>
      <c r="B123" s="75" t="s">
        <v>69</v>
      </c>
      <c r="C123" s="5">
        <v>38400</v>
      </c>
      <c r="D123" s="5"/>
      <c r="E123" s="5"/>
      <c r="F123" s="5"/>
      <c r="G123" s="63">
        <f t="shared" si="5"/>
        <v>38400</v>
      </c>
    </row>
    <row r="124" spans="1:7" ht="33.75" x14ac:dyDescent="0.2">
      <c r="A124" s="74"/>
      <c r="B124" s="75" t="s">
        <v>97</v>
      </c>
      <c r="C124" s="5"/>
      <c r="D124" s="5"/>
      <c r="E124" s="5"/>
      <c r="F124" s="5"/>
      <c r="G124" s="63">
        <f t="shared" si="5"/>
        <v>0</v>
      </c>
    </row>
    <row r="125" spans="1:7" ht="22.5" x14ac:dyDescent="0.2">
      <c r="A125" s="74"/>
      <c r="B125" s="75" t="s">
        <v>103</v>
      </c>
      <c r="C125" s="5">
        <v>0</v>
      </c>
      <c r="D125" s="5"/>
      <c r="E125" s="5"/>
      <c r="F125" s="5"/>
      <c r="G125" s="63">
        <f t="shared" si="5"/>
        <v>0</v>
      </c>
    </row>
    <row r="126" spans="1:7" ht="22.5" x14ac:dyDescent="0.2">
      <c r="A126" s="74"/>
      <c r="B126" s="75" t="s">
        <v>104</v>
      </c>
      <c r="C126" s="5">
        <v>0</v>
      </c>
      <c r="D126" s="5"/>
      <c r="E126" s="5"/>
      <c r="F126" s="5"/>
      <c r="G126" s="63">
        <f t="shared" si="5"/>
        <v>0</v>
      </c>
    </row>
    <row r="127" spans="1:7" x14ac:dyDescent="0.2">
      <c r="A127" s="74"/>
      <c r="B127" s="75" t="s">
        <v>105</v>
      </c>
      <c r="C127" s="5">
        <v>0</v>
      </c>
      <c r="D127" s="5"/>
      <c r="E127" s="5"/>
      <c r="F127" s="5"/>
      <c r="G127" s="63">
        <f t="shared" si="5"/>
        <v>0</v>
      </c>
    </row>
    <row r="128" spans="1:7" ht="22.5" x14ac:dyDescent="0.2">
      <c r="A128" s="74"/>
      <c r="B128" s="75" t="s">
        <v>106</v>
      </c>
      <c r="C128" s="5">
        <v>0</v>
      </c>
      <c r="D128" s="5"/>
      <c r="E128" s="5"/>
      <c r="F128" s="5"/>
      <c r="G128" s="63">
        <f t="shared" si="5"/>
        <v>0</v>
      </c>
    </row>
    <row r="129" spans="1:7" x14ac:dyDescent="0.2">
      <c r="A129" s="74"/>
      <c r="B129" s="75" t="s">
        <v>107</v>
      </c>
      <c r="C129" s="5">
        <v>0</v>
      </c>
      <c r="D129" s="5"/>
      <c r="E129" s="5"/>
      <c r="F129" s="5"/>
      <c r="G129" s="63">
        <f t="shared" si="5"/>
        <v>0</v>
      </c>
    </row>
    <row r="130" spans="1:7" x14ac:dyDescent="0.2">
      <c r="A130" s="74"/>
      <c r="B130" s="75" t="s">
        <v>141</v>
      </c>
      <c r="C130" s="5">
        <v>0</v>
      </c>
      <c r="D130" s="5"/>
      <c r="E130" s="5"/>
      <c r="F130" s="5"/>
      <c r="G130" s="63">
        <f t="shared" si="5"/>
        <v>0</v>
      </c>
    </row>
    <row r="131" spans="1:7" x14ac:dyDescent="0.2">
      <c r="A131" s="74"/>
      <c r="B131" s="75" t="s">
        <v>115</v>
      </c>
      <c r="C131" s="5">
        <v>0</v>
      </c>
      <c r="D131" s="5"/>
      <c r="E131" s="5"/>
      <c r="F131" s="5"/>
      <c r="G131" s="63">
        <f t="shared" si="5"/>
        <v>0</v>
      </c>
    </row>
    <row r="132" spans="1:7" x14ac:dyDescent="0.2">
      <c r="A132" s="74"/>
      <c r="B132" s="75" t="s">
        <v>108</v>
      </c>
      <c r="C132" s="5">
        <v>0</v>
      </c>
      <c r="D132" s="5"/>
      <c r="E132" s="5"/>
      <c r="F132" s="5"/>
      <c r="G132" s="63">
        <f t="shared" si="5"/>
        <v>0</v>
      </c>
    </row>
    <row r="133" spans="1:7" ht="33.75" x14ac:dyDescent="0.2">
      <c r="A133" s="74"/>
      <c r="B133" s="75" t="s">
        <v>121</v>
      </c>
      <c r="C133" s="5">
        <v>0</v>
      </c>
      <c r="D133" s="5"/>
      <c r="E133" s="5"/>
      <c r="F133" s="5"/>
      <c r="G133" s="63">
        <f t="shared" si="5"/>
        <v>0</v>
      </c>
    </row>
    <row r="134" spans="1:7" ht="22.5" x14ac:dyDescent="0.2">
      <c r="A134" s="74"/>
      <c r="B134" s="75" t="s">
        <v>109</v>
      </c>
      <c r="C134" s="5">
        <v>0</v>
      </c>
      <c r="D134" s="5"/>
      <c r="E134" s="5"/>
      <c r="F134" s="5"/>
      <c r="G134" s="63">
        <f t="shared" si="5"/>
        <v>0</v>
      </c>
    </row>
    <row r="135" spans="1:7" x14ac:dyDescent="0.2">
      <c r="A135" s="74"/>
      <c r="B135" s="75" t="s">
        <v>142</v>
      </c>
      <c r="C135" s="5">
        <v>0</v>
      </c>
      <c r="D135" s="5"/>
      <c r="E135" s="5"/>
      <c r="F135" s="5"/>
      <c r="G135" s="63">
        <f t="shared" si="5"/>
        <v>0</v>
      </c>
    </row>
    <row r="136" spans="1:7" x14ac:dyDescent="0.2">
      <c r="A136" s="74"/>
      <c r="B136" s="75" t="s">
        <v>110</v>
      </c>
      <c r="C136" s="5">
        <v>0</v>
      </c>
      <c r="D136" s="5"/>
      <c r="E136" s="5"/>
      <c r="F136" s="5"/>
      <c r="G136" s="63">
        <f t="shared" si="5"/>
        <v>0</v>
      </c>
    </row>
    <row r="137" spans="1:7" x14ac:dyDescent="0.2">
      <c r="A137" s="74"/>
      <c r="B137" s="75" t="s">
        <v>143</v>
      </c>
      <c r="C137" s="5"/>
      <c r="D137" s="5"/>
      <c r="E137" s="5"/>
      <c r="F137" s="5"/>
      <c r="G137" s="63">
        <f t="shared" si="5"/>
        <v>0</v>
      </c>
    </row>
    <row r="138" spans="1:7" x14ac:dyDescent="0.2">
      <c r="A138" s="74"/>
      <c r="B138" s="75" t="s">
        <v>113</v>
      </c>
      <c r="C138" s="5">
        <v>0</v>
      </c>
      <c r="D138" s="5"/>
      <c r="E138" s="5"/>
      <c r="F138" s="5"/>
      <c r="G138" s="63">
        <f t="shared" si="5"/>
        <v>0</v>
      </c>
    </row>
    <row r="139" spans="1:7" ht="12.75" thickBot="1" x14ac:dyDescent="0.25">
      <c r="A139" s="14"/>
      <c r="B139" s="82" t="s">
        <v>70</v>
      </c>
      <c r="C139" s="83">
        <f>SUM(C54:C138)</f>
        <v>450000</v>
      </c>
      <c r="D139" s="83">
        <f t="shared" ref="D139:G139" si="6">SUM(D54:D138)</f>
        <v>136000</v>
      </c>
      <c r="E139" s="83">
        <f t="shared" si="6"/>
        <v>136000</v>
      </c>
      <c r="F139" s="83">
        <f t="shared" si="6"/>
        <v>717327.755</v>
      </c>
      <c r="G139" s="83">
        <f t="shared" si="6"/>
        <v>1167327.7549999999</v>
      </c>
    </row>
    <row r="140" spans="1:7" ht="34.5" thickBot="1" x14ac:dyDescent="0.25">
      <c r="A140" s="14"/>
      <c r="B140" s="16" t="s">
        <v>117</v>
      </c>
      <c r="C140" s="20"/>
      <c r="D140" s="15"/>
      <c r="E140" s="15"/>
      <c r="F140" s="15"/>
      <c r="G140" s="15"/>
    </row>
  </sheetData>
  <mergeCells count="26">
    <mergeCell ref="B42:G42"/>
    <mergeCell ref="B16:G16"/>
    <mergeCell ref="B17:G17"/>
    <mergeCell ref="B38:G38"/>
    <mergeCell ref="B39:G39"/>
    <mergeCell ref="B41:G41"/>
    <mergeCell ref="B52:C52"/>
    <mergeCell ref="D52:F52"/>
    <mergeCell ref="B43:G43"/>
    <mergeCell ref="B45:G45"/>
    <mergeCell ref="B47:G47"/>
    <mergeCell ref="B46:G46"/>
    <mergeCell ref="B44:G44"/>
    <mergeCell ref="B51:F51"/>
    <mergeCell ref="B48:G48"/>
    <mergeCell ref="B49:G49"/>
    <mergeCell ref="B1:G1"/>
    <mergeCell ref="B7:G7"/>
    <mergeCell ref="B11:G11"/>
    <mergeCell ref="B12:G12"/>
    <mergeCell ref="B40:G40"/>
    <mergeCell ref="B8:G8"/>
    <mergeCell ref="B9:G9"/>
    <mergeCell ref="B10:G10"/>
    <mergeCell ref="B13:G13"/>
    <mergeCell ref="B14:J14"/>
  </mergeCells>
  <pageMargins left="1.4960629921259843" right="0.70866141732283472" top="1.1811023622047245" bottom="0.35433070866141736" header="0.31496062992125984" footer="0.31496062992125984"/>
  <pageSetup scale="70" orientation="landscape" r:id="rId1"/>
  <rowBreaks count="1" manualBreakCount="1">
    <brk id="41" max="6" man="1"/>
  </rowBreaks>
  <ignoredErrors>
    <ignoredError sqref="A114:A134 A62:A112" numberStoredAsText="1"/>
    <ignoredError sqref="C55:C9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Y EGRESOS</vt:lpstr>
      <vt:lpstr>TRANSFERENCIA Y MODIFICACIONES</vt:lpstr>
      <vt:lpstr>'INGRESOS Y EGRESOS'!Área_de_impresión</vt:lpstr>
      <vt:lpstr>'TRANSFERENCIA Y MODIFICACIONES'!Área_de_impresión</vt:lpstr>
      <vt:lpstr>'TRANSFERENCIA Y MODIFICACIONES'!Títulos_a_imprimir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contabilidad Asokigua</cp:lastModifiedBy>
  <cp:lastPrinted>2025-01-21T17:33:45Z</cp:lastPrinted>
  <dcterms:created xsi:type="dcterms:W3CDTF">2018-09-06T17:50:41Z</dcterms:created>
  <dcterms:modified xsi:type="dcterms:W3CDTF">2025-01-21T17:34:59Z</dcterms:modified>
</cp:coreProperties>
</file>