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ACCESO 2024 ASOKIGUA\ACCESO DICIEMBRE ASOKIGUA 2024\"/>
    </mc:Choice>
  </mc:AlternateContent>
  <xr:revisionPtr revIDLastSave="0" documentId="13_ncr:1_{BDE7E4C0-EFE8-4462-A171-FFB1899BF17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GRESOS Y EGRESOS" sheetId="1" r:id="rId1"/>
    <sheet name="TRANSFERENCIA Y MODIFICACIONES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'INGRESOS Y EGRESOS'!$A$1:$X$141</definedName>
    <definedName name="_xlnm.Print_Area" localSheetId="1">'TRANSFERENCIA Y MODIFICACIONES'!$A$1:$G$141</definedName>
    <definedName name="_xlnm.Print_Titles" localSheetId="0">'INGRESOS Y EGRESOS'!$52:$54</definedName>
    <definedName name="_xlnm.Print_Titles" localSheetId="1">'TRANSFERENCIA Y MODIFICACIONES'!$49:$52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0" i="2" l="1"/>
  <c r="G124" i="2"/>
  <c r="F123" i="2"/>
  <c r="G123" i="2" s="1"/>
  <c r="G122" i="2"/>
  <c r="G121" i="2"/>
  <c r="G120" i="2"/>
  <c r="G119" i="2"/>
  <c r="G118" i="2"/>
  <c r="G117" i="2"/>
  <c r="G116" i="2"/>
  <c r="G115" i="2"/>
  <c r="G114" i="2"/>
  <c r="F113" i="2"/>
  <c r="G113" i="2" s="1"/>
  <c r="G112" i="2"/>
  <c r="G111" i="2"/>
  <c r="G110" i="2"/>
  <c r="G109" i="2"/>
  <c r="G108" i="2"/>
  <c r="G107" i="2"/>
  <c r="G106" i="2"/>
  <c r="G105" i="2"/>
  <c r="G104" i="2"/>
  <c r="G103" i="2"/>
  <c r="G102" i="2"/>
  <c r="G101" i="2"/>
  <c r="F100" i="2"/>
  <c r="D100" i="2"/>
  <c r="G100" i="2" s="1"/>
  <c r="F99" i="2"/>
  <c r="G99" i="2" s="1"/>
  <c r="F97" i="2"/>
  <c r="D97" i="2"/>
  <c r="G97" i="2" s="1"/>
  <c r="G96" i="2"/>
  <c r="F96" i="2"/>
  <c r="F95" i="2"/>
  <c r="G95" i="2" s="1"/>
  <c r="G94" i="2"/>
  <c r="E94" i="2"/>
  <c r="G93" i="2"/>
  <c r="F92" i="2"/>
  <c r="G92" i="2" s="1"/>
  <c r="F91" i="2"/>
  <c r="G91" i="2" s="1"/>
  <c r="G90" i="2"/>
  <c r="F89" i="2"/>
  <c r="G89" i="2" s="1"/>
  <c r="G88" i="2"/>
  <c r="D87" i="2"/>
  <c r="G87" i="2" s="1"/>
  <c r="G86" i="2"/>
  <c r="G85" i="2"/>
  <c r="G84" i="2"/>
  <c r="G83" i="2"/>
  <c r="G82" i="2"/>
  <c r="G81" i="2"/>
  <c r="G80" i="2"/>
  <c r="G79" i="2"/>
  <c r="G78" i="2"/>
  <c r="G77" i="2"/>
  <c r="F76" i="2"/>
  <c r="F75" i="2"/>
  <c r="D75" i="2"/>
  <c r="G75" i="2" s="1"/>
  <c r="F74" i="2"/>
  <c r="F140" i="2" s="1"/>
  <c r="D74" i="2"/>
  <c r="G73" i="2"/>
  <c r="G72" i="2"/>
  <c r="D71" i="2"/>
  <c r="G71" i="2" s="1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C57" i="2"/>
  <c r="G57" i="2" s="1"/>
  <c r="C56" i="2"/>
  <c r="G56" i="2" s="1"/>
  <c r="F34" i="2"/>
  <c r="E34" i="2"/>
  <c r="D34" i="2"/>
  <c r="C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H34" i="2"/>
  <c r="B47" i="2"/>
  <c r="B47" i="1"/>
  <c r="G19" i="1"/>
  <c r="G20" i="1"/>
  <c r="G21" i="1"/>
  <c r="G22" i="1"/>
  <c r="G33" i="1" s="1"/>
  <c r="G23" i="1"/>
  <c r="G24" i="1"/>
  <c r="G25" i="1"/>
  <c r="G26" i="1"/>
  <c r="G27" i="1"/>
  <c r="G28" i="1"/>
  <c r="G29" i="1"/>
  <c r="G30" i="1"/>
  <c r="G31" i="1"/>
  <c r="G32" i="1"/>
  <c r="G55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9" i="1"/>
  <c r="G90" i="1"/>
  <c r="G92" i="1"/>
  <c r="G93" i="1"/>
  <c r="G94" i="1"/>
  <c r="G95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4" i="1"/>
  <c r="G115" i="1"/>
  <c r="G116" i="1"/>
  <c r="G117" i="1"/>
  <c r="G118" i="1"/>
  <c r="G119" i="1"/>
  <c r="G120" i="1"/>
  <c r="G121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F24" i="1"/>
  <c r="V136" i="1"/>
  <c r="U112" i="1"/>
  <c r="V112" i="1" s="1"/>
  <c r="U99" i="1"/>
  <c r="V99" i="1" s="1"/>
  <c r="U98" i="1"/>
  <c r="U96" i="1"/>
  <c r="U90" i="1"/>
  <c r="U88" i="1"/>
  <c r="U60" i="1"/>
  <c r="U32" i="1"/>
  <c r="U26" i="1"/>
  <c r="V26" i="1" s="1"/>
  <c r="U22" i="1"/>
  <c r="V22" i="1" s="1"/>
  <c r="T137" i="1"/>
  <c r="V137" i="1" s="1"/>
  <c r="T125" i="1"/>
  <c r="T122" i="1"/>
  <c r="V122" i="1" s="1"/>
  <c r="T96" i="1"/>
  <c r="T90" i="1"/>
  <c r="T88" i="1"/>
  <c r="T73" i="1"/>
  <c r="T60" i="1"/>
  <c r="T32" i="1"/>
  <c r="T23" i="1"/>
  <c r="V23" i="1" s="1"/>
  <c r="T20" i="1"/>
  <c r="V20" i="1" s="1"/>
  <c r="V138" i="1"/>
  <c r="S137" i="1"/>
  <c r="S125" i="1"/>
  <c r="S90" i="1"/>
  <c r="S88" i="1"/>
  <c r="S86" i="1"/>
  <c r="V86" i="1" s="1"/>
  <c r="S60" i="1"/>
  <c r="B46" i="2"/>
  <c r="B46" i="1"/>
  <c r="Q136" i="1"/>
  <c r="Q135" i="1"/>
  <c r="Q134" i="1"/>
  <c r="Q133" i="1"/>
  <c r="V126" i="1"/>
  <c r="Q126" i="1"/>
  <c r="L126" i="1"/>
  <c r="V139" i="1"/>
  <c r="V135" i="1"/>
  <c r="V134" i="1"/>
  <c r="V133" i="1"/>
  <c r="V132" i="1"/>
  <c r="V131" i="1"/>
  <c r="V130" i="1"/>
  <c r="V129" i="1"/>
  <c r="V128" i="1"/>
  <c r="V127" i="1"/>
  <c r="V125" i="1"/>
  <c r="V124" i="1"/>
  <c r="V123" i="1"/>
  <c r="V121" i="1"/>
  <c r="V120" i="1"/>
  <c r="V119" i="1"/>
  <c r="V118" i="1"/>
  <c r="V117" i="1"/>
  <c r="V116" i="1"/>
  <c r="V115" i="1"/>
  <c r="V114" i="1"/>
  <c r="V113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7" i="1"/>
  <c r="V95" i="1"/>
  <c r="V94" i="1"/>
  <c r="V93" i="1"/>
  <c r="V92" i="1"/>
  <c r="V91" i="1"/>
  <c r="V89" i="1"/>
  <c r="V87" i="1"/>
  <c r="V85" i="1"/>
  <c r="V84" i="1"/>
  <c r="V83" i="1"/>
  <c r="V82" i="1"/>
  <c r="V81" i="1"/>
  <c r="V80" i="1"/>
  <c r="V79" i="1"/>
  <c r="V78" i="1"/>
  <c r="V77" i="1"/>
  <c r="V76" i="1"/>
  <c r="V75" i="1"/>
  <c r="V74" i="1"/>
  <c r="V72" i="1"/>
  <c r="V71" i="1"/>
  <c r="V70" i="1"/>
  <c r="V69" i="1"/>
  <c r="V68" i="1"/>
  <c r="V67" i="1"/>
  <c r="V66" i="1"/>
  <c r="V65" i="1"/>
  <c r="V64" i="1"/>
  <c r="V63" i="1"/>
  <c r="V62" i="1"/>
  <c r="V61" i="1"/>
  <c r="V59" i="1"/>
  <c r="V58" i="1"/>
  <c r="V57" i="1"/>
  <c r="V56" i="1"/>
  <c r="V55" i="1"/>
  <c r="Q139" i="1"/>
  <c r="Q138" i="1"/>
  <c r="Q132" i="1"/>
  <c r="Q131" i="1"/>
  <c r="Q130" i="1"/>
  <c r="Q129" i="1"/>
  <c r="Q128" i="1"/>
  <c r="Q127" i="1"/>
  <c r="Q124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2" i="1"/>
  <c r="Q101" i="1"/>
  <c r="Q100" i="1"/>
  <c r="Q99" i="1"/>
  <c r="Q98" i="1"/>
  <c r="Q97" i="1"/>
  <c r="Q96" i="1"/>
  <c r="Q95" i="1"/>
  <c r="Q94" i="1"/>
  <c r="Q93" i="1"/>
  <c r="Q92" i="1"/>
  <c r="Q91" i="1"/>
  <c r="Q89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58" i="1"/>
  <c r="Q57" i="1"/>
  <c r="Q56" i="1"/>
  <c r="Q55" i="1"/>
  <c r="V31" i="1"/>
  <c r="V30" i="1"/>
  <c r="V29" i="1"/>
  <c r="V25" i="1"/>
  <c r="V24" i="1"/>
  <c r="V21" i="1"/>
  <c r="R32" i="1"/>
  <c r="R28" i="1"/>
  <c r="V28" i="1" s="1"/>
  <c r="R27" i="1"/>
  <c r="V27" i="1" s="1"/>
  <c r="J32" i="1"/>
  <c r="L32" i="1" s="1"/>
  <c r="J29" i="1"/>
  <c r="L29" i="1" s="1"/>
  <c r="J27" i="1"/>
  <c r="I27" i="1"/>
  <c r="I20" i="1"/>
  <c r="O32" i="1"/>
  <c r="N32" i="1"/>
  <c r="P31" i="1"/>
  <c r="Q31" i="1" s="1"/>
  <c r="O27" i="1"/>
  <c r="N27" i="1"/>
  <c r="M27" i="1"/>
  <c r="M33" i="1" s="1"/>
  <c r="Q30" i="1"/>
  <c r="Q28" i="1"/>
  <c r="Q25" i="1"/>
  <c r="Q24" i="1"/>
  <c r="Q23" i="1"/>
  <c r="Q22" i="1"/>
  <c r="Q21" i="1"/>
  <c r="L31" i="1"/>
  <c r="L30" i="1"/>
  <c r="L28" i="1"/>
  <c r="L26" i="1"/>
  <c r="L25" i="1"/>
  <c r="L24" i="1"/>
  <c r="L23" i="1"/>
  <c r="L22" i="1"/>
  <c r="L21" i="1"/>
  <c r="Q20" i="1"/>
  <c r="L20" i="1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R96" i="1"/>
  <c r="R90" i="1"/>
  <c r="R88" i="1"/>
  <c r="R60" i="1"/>
  <c r="F122" i="1"/>
  <c r="G122" i="1" s="1"/>
  <c r="F112" i="1"/>
  <c r="D112" i="1"/>
  <c r="G112" i="1" s="1"/>
  <c r="D99" i="1"/>
  <c r="F98" i="1"/>
  <c r="F96" i="1"/>
  <c r="G96" i="1" s="1"/>
  <c r="F91" i="1"/>
  <c r="G91" i="1" s="1"/>
  <c r="F90" i="1"/>
  <c r="F88" i="1"/>
  <c r="G88" i="1" s="1"/>
  <c r="F74" i="1"/>
  <c r="G74" i="1" s="1"/>
  <c r="F73" i="1"/>
  <c r="G73" i="1" s="1"/>
  <c r="B49" i="2"/>
  <c r="K140" i="1"/>
  <c r="P137" i="1"/>
  <c r="P125" i="1"/>
  <c r="P123" i="1"/>
  <c r="P90" i="1"/>
  <c r="P88" i="1"/>
  <c r="P74" i="1"/>
  <c r="P60" i="1"/>
  <c r="N123" i="1"/>
  <c r="O137" i="1"/>
  <c r="N137" i="1"/>
  <c r="O125" i="1"/>
  <c r="N125" i="1"/>
  <c r="O103" i="1"/>
  <c r="Q103" i="1" s="1"/>
  <c r="O90" i="1"/>
  <c r="N90" i="1"/>
  <c r="O88" i="1"/>
  <c r="N88" i="1"/>
  <c r="O74" i="1"/>
  <c r="O60" i="1"/>
  <c r="N60" i="1"/>
  <c r="Q26" i="1"/>
  <c r="M90" i="1"/>
  <c r="M88" i="1"/>
  <c r="M60" i="1"/>
  <c r="M59" i="1"/>
  <c r="Q59" i="1" s="1"/>
  <c r="Q29" i="1"/>
  <c r="L55" i="1"/>
  <c r="L56" i="1"/>
  <c r="L57" i="1"/>
  <c r="L58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9" i="1"/>
  <c r="L91" i="1"/>
  <c r="L92" i="1"/>
  <c r="L93" i="1"/>
  <c r="L94" i="1"/>
  <c r="L96" i="1"/>
  <c r="L97" i="1"/>
  <c r="L98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4" i="1"/>
  <c r="L115" i="1"/>
  <c r="L116" i="1"/>
  <c r="L117" i="1"/>
  <c r="L118" i="1"/>
  <c r="L119" i="1"/>
  <c r="L120" i="1"/>
  <c r="L121" i="1"/>
  <c r="L123" i="1"/>
  <c r="L124" i="1"/>
  <c r="L125" i="1"/>
  <c r="L127" i="1"/>
  <c r="L128" i="1"/>
  <c r="L129" i="1"/>
  <c r="L130" i="1"/>
  <c r="L131" i="1"/>
  <c r="L132" i="1"/>
  <c r="L133" i="1"/>
  <c r="L134" i="1"/>
  <c r="L136" i="1"/>
  <c r="L137" i="1"/>
  <c r="L138" i="1"/>
  <c r="L139" i="1"/>
  <c r="S33" i="1"/>
  <c r="L19" i="1"/>
  <c r="J90" i="1"/>
  <c r="J88" i="1"/>
  <c r="J60" i="1"/>
  <c r="I122" i="1"/>
  <c r="I112" i="1"/>
  <c r="I99" i="1"/>
  <c r="I95" i="1"/>
  <c r="I90" i="1"/>
  <c r="I88" i="1"/>
  <c r="I60" i="1"/>
  <c r="H90" i="1"/>
  <c r="H59" i="1"/>
  <c r="L59" i="1" s="1"/>
  <c r="H33" i="1"/>
  <c r="C33" i="1"/>
  <c r="A93" i="1"/>
  <c r="C56" i="1"/>
  <c r="G56" i="1" s="1"/>
  <c r="C55" i="1"/>
  <c r="D140" i="2" l="1"/>
  <c r="G74" i="2"/>
  <c r="G34" i="2"/>
  <c r="C140" i="2"/>
  <c r="G76" i="2"/>
  <c r="G140" i="2" s="1"/>
  <c r="G140" i="1"/>
  <c r="Q125" i="1"/>
  <c r="W125" i="1" s="1"/>
  <c r="X125" i="1" s="1"/>
  <c r="V88" i="1"/>
  <c r="W135" i="1"/>
  <c r="W126" i="1"/>
  <c r="X126" i="1" s="1"/>
  <c r="V90" i="1"/>
  <c r="Q88" i="1"/>
  <c r="W59" i="1"/>
  <c r="W68" i="1"/>
  <c r="Q74" i="1"/>
  <c r="W74" i="1" s="1"/>
  <c r="Q90" i="1"/>
  <c r="Q137" i="1"/>
  <c r="P33" i="1"/>
  <c r="V96" i="1"/>
  <c r="W96" i="1" s="1"/>
  <c r="Q32" i="1"/>
  <c r="W56" i="1"/>
  <c r="W100" i="1"/>
  <c r="W104" i="1"/>
  <c r="W108" i="1"/>
  <c r="W116" i="1"/>
  <c r="W86" i="1"/>
  <c r="W55" i="1"/>
  <c r="W64" i="1"/>
  <c r="W72" i="1"/>
  <c r="C140" i="1"/>
  <c r="Q123" i="1"/>
  <c r="W123" i="1" s="1"/>
  <c r="W89" i="1"/>
  <c r="W113" i="1"/>
  <c r="X113" i="1" s="1"/>
  <c r="W117" i="1"/>
  <c r="X135" i="1"/>
  <c r="N33" i="1"/>
  <c r="M140" i="1"/>
  <c r="Q60" i="1"/>
  <c r="W77" i="1"/>
  <c r="W81" i="1"/>
  <c r="W85" i="1"/>
  <c r="W94" i="1"/>
  <c r="U140" i="1"/>
  <c r="N140" i="1"/>
  <c r="P140" i="1"/>
  <c r="R140" i="1"/>
  <c r="V32" i="1"/>
  <c r="V33" i="1" s="1"/>
  <c r="W61" i="1"/>
  <c r="W65" i="1"/>
  <c r="W69" i="1"/>
  <c r="W78" i="1"/>
  <c r="W82" i="1"/>
  <c r="W91" i="1"/>
  <c r="W101" i="1"/>
  <c r="W105" i="1"/>
  <c r="W109" i="1"/>
  <c r="I140" i="1"/>
  <c r="J140" i="1"/>
  <c r="U33" i="1"/>
  <c r="W57" i="1"/>
  <c r="W62" i="1"/>
  <c r="W66" i="1"/>
  <c r="W70" i="1"/>
  <c r="W75" i="1"/>
  <c r="W79" i="1"/>
  <c r="W83" i="1"/>
  <c r="W87" i="1"/>
  <c r="W92" i="1"/>
  <c r="W102" i="1"/>
  <c r="W106" i="1"/>
  <c r="W110" i="1"/>
  <c r="W114" i="1"/>
  <c r="W118" i="1"/>
  <c r="W20" i="1"/>
  <c r="T140" i="1"/>
  <c r="O140" i="1"/>
  <c r="L27" i="1"/>
  <c r="L33" i="1" s="1"/>
  <c r="W58" i="1"/>
  <c r="W63" i="1"/>
  <c r="W67" i="1"/>
  <c r="W71" i="1"/>
  <c r="W76" i="1"/>
  <c r="W80" i="1"/>
  <c r="W84" i="1"/>
  <c r="W93" i="1"/>
  <c r="W97" i="1"/>
  <c r="W103" i="1"/>
  <c r="W107" i="1"/>
  <c r="W111" i="1"/>
  <c r="W115" i="1"/>
  <c r="W119" i="1"/>
  <c r="V98" i="1"/>
  <c r="W98" i="1" s="1"/>
  <c r="V60" i="1"/>
  <c r="W23" i="1"/>
  <c r="X23" i="1" s="1"/>
  <c r="W24" i="1"/>
  <c r="V73" i="1"/>
  <c r="W73" i="1" s="1"/>
  <c r="T33" i="1"/>
  <c r="W127" i="1"/>
  <c r="X127" i="1" s="1"/>
  <c r="W131" i="1"/>
  <c r="X131" i="1" s="1"/>
  <c r="W121" i="1"/>
  <c r="W139" i="1"/>
  <c r="X139" i="1" s="1"/>
  <c r="W129" i="1"/>
  <c r="X129" i="1" s="1"/>
  <c r="W120" i="1"/>
  <c r="S140" i="1"/>
  <c r="W29" i="1"/>
  <c r="W133" i="1"/>
  <c r="X133" i="1" s="1"/>
  <c r="W128" i="1"/>
  <c r="X128" i="1" s="1"/>
  <c r="W132" i="1"/>
  <c r="X132" i="1" s="1"/>
  <c r="W136" i="1"/>
  <c r="X136" i="1" s="1"/>
  <c r="W137" i="1"/>
  <c r="X137" i="1" s="1"/>
  <c r="W130" i="1"/>
  <c r="X130" i="1" s="1"/>
  <c r="W134" i="1"/>
  <c r="X134" i="1" s="1"/>
  <c r="W138" i="1"/>
  <c r="X138" i="1" s="1"/>
  <c r="W124" i="1"/>
  <c r="W21" i="1"/>
  <c r="W25" i="1"/>
  <c r="W26" i="1"/>
  <c r="W22" i="1"/>
  <c r="W28" i="1"/>
  <c r="W30" i="1"/>
  <c r="W31" i="1"/>
  <c r="Q27" i="1"/>
  <c r="J33" i="1"/>
  <c r="K33" i="1"/>
  <c r="O33" i="1"/>
  <c r="R33" i="1"/>
  <c r="L90" i="1"/>
  <c r="L60" i="1"/>
  <c r="L88" i="1"/>
  <c r="L95" i="1"/>
  <c r="W95" i="1" s="1"/>
  <c r="L99" i="1"/>
  <c r="W99" i="1" s="1"/>
  <c r="L112" i="1"/>
  <c r="W112" i="1" s="1"/>
  <c r="L122" i="1"/>
  <c r="W122" i="1" s="1"/>
  <c r="I33" i="1"/>
  <c r="Q19" i="1"/>
  <c r="H140" i="1"/>
  <c r="A94" i="2"/>
  <c r="B49" i="1"/>
  <c r="W32" i="1" l="1"/>
  <c r="X32" i="1" s="1"/>
  <c r="W88" i="1"/>
  <c r="W90" i="1"/>
  <c r="W27" i="1"/>
  <c r="W60" i="1"/>
  <c r="X74" i="1"/>
  <c r="X112" i="1"/>
  <c r="X111" i="1"/>
  <c r="X62" i="1"/>
  <c r="X107" i="1"/>
  <c r="X90" i="1"/>
  <c r="X85" i="1"/>
  <c r="Q33" i="1"/>
  <c r="X61" i="1"/>
  <c r="V140" i="1"/>
  <c r="Q140" i="1"/>
  <c r="L140" i="1"/>
  <c r="W19" i="1"/>
  <c r="W54" i="1"/>
  <c r="F33" i="1"/>
  <c r="E33" i="1"/>
  <c r="D33" i="1"/>
  <c r="X56" i="1"/>
  <c r="X57" i="1"/>
  <c r="X58" i="1"/>
  <c r="X59" i="1"/>
  <c r="X60" i="1"/>
  <c r="X63" i="1"/>
  <c r="X64" i="1"/>
  <c r="X65" i="1"/>
  <c r="X66" i="1"/>
  <c r="X67" i="1"/>
  <c r="X68" i="1"/>
  <c r="X69" i="1"/>
  <c r="X70" i="1"/>
  <c r="X71" i="1"/>
  <c r="X72" i="1"/>
  <c r="X75" i="1"/>
  <c r="X76" i="1"/>
  <c r="X77" i="1"/>
  <c r="X78" i="1"/>
  <c r="X79" i="1"/>
  <c r="X80" i="1"/>
  <c r="X81" i="1"/>
  <c r="X82" i="1"/>
  <c r="X83" i="1"/>
  <c r="X84" i="1"/>
  <c r="X86" i="1"/>
  <c r="X87" i="1"/>
  <c r="X88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8" i="1"/>
  <c r="X109" i="1"/>
  <c r="X110" i="1"/>
  <c r="X114" i="1"/>
  <c r="X115" i="1"/>
  <c r="X116" i="1"/>
  <c r="X117" i="1"/>
  <c r="X118" i="1"/>
  <c r="X119" i="1"/>
  <c r="X120" i="1"/>
  <c r="X122" i="1"/>
  <c r="X123" i="1"/>
  <c r="X124" i="1"/>
  <c r="F140" i="1"/>
  <c r="E140" i="1"/>
  <c r="D140" i="1"/>
  <c r="X121" i="1"/>
  <c r="X91" i="1"/>
  <c r="X89" i="1"/>
  <c r="X73" i="1"/>
  <c r="W33" i="1" l="1"/>
  <c r="W140" i="1"/>
  <c r="X54" i="1"/>
  <c r="J32" i="2"/>
  <c r="J31" i="2"/>
  <c r="J30" i="2"/>
  <c r="J29" i="2"/>
  <c r="J28" i="2"/>
  <c r="J27" i="2"/>
  <c r="J26" i="2"/>
  <c r="J23" i="2"/>
  <c r="J22" i="2"/>
  <c r="J21" i="2"/>
  <c r="J25" i="2" l="1"/>
  <c r="J34" i="2" s="1"/>
  <c r="I34" i="2"/>
  <c r="J20" i="2"/>
  <c r="X55" i="1"/>
  <c r="X140" i="1" s="1"/>
  <c r="X31" i="1"/>
  <c r="X30" i="1"/>
  <c r="X29" i="1"/>
  <c r="X28" i="1"/>
  <c r="X27" i="1"/>
  <c r="X26" i="1"/>
  <c r="X25" i="1"/>
  <c r="X24" i="1"/>
  <c r="X22" i="1"/>
  <c r="X21" i="1"/>
  <c r="X19" i="1"/>
  <c r="X20" i="1" l="1"/>
  <c r="X33" i="1" l="1"/>
</calcChain>
</file>

<file path=xl/sharedStrings.xml><?xml version="1.0" encoding="utf-8"?>
<sst xmlns="http://schemas.openxmlformats.org/spreadsheetml/2006/main" count="333" uniqueCount="163">
  <si>
    <t>Cifras expresadas en quetzales</t>
  </si>
  <si>
    <t>MODIFICACIONES</t>
  </si>
  <si>
    <t>INGRESOS</t>
  </si>
  <si>
    <t xml:space="preserve">AUMENTO </t>
  </si>
  <si>
    <t>DISMINUCION</t>
  </si>
  <si>
    <t>VIGENTE</t>
  </si>
  <si>
    <t>ENERO</t>
  </si>
  <si>
    <t>SALDOS INICIALES</t>
  </si>
  <si>
    <t>Asignaciones de C.D.A.G.</t>
  </si>
  <si>
    <t>Ayudas extraordinaria C.D.A.G</t>
  </si>
  <si>
    <t>Intereses de Bancos</t>
  </si>
  <si>
    <t>Ingresos por ajustes y/o reintegros</t>
  </si>
  <si>
    <t>TOTAL DE INGRESOS</t>
  </si>
  <si>
    <t>Ejecucion Presupuestaria de Egresos</t>
  </si>
  <si>
    <t>SERVICIOS PERSONALES</t>
  </si>
  <si>
    <t>PERSONAL PERMANENTE</t>
  </si>
  <si>
    <t>COMPLEMENTO ESPECIFICO AL PERSONAL PERMANENTE</t>
  </si>
  <si>
    <t>PERSONAL POR CONTRATO</t>
  </si>
  <si>
    <t>COMPLEMENTO ESPECIFICO AL PERSONAL TEMPORAL</t>
  </si>
  <si>
    <t>CUOTA PATRONAL IGSS</t>
  </si>
  <si>
    <t>DIETAS</t>
  </si>
  <si>
    <t>AGUINALDOS</t>
  </si>
  <si>
    <t>BONIFICACION ANUAL (BONO 14)</t>
  </si>
  <si>
    <t>OTRAS PRESTACIONES</t>
  </si>
  <si>
    <t>SERVICIOS NO PERSONALES</t>
  </si>
  <si>
    <t>ENERGIA ELECTRICA</t>
  </si>
  <si>
    <t>AGUA</t>
  </si>
  <si>
    <t>TELEFONIA</t>
  </si>
  <si>
    <t>CORREOS Y TELEGRAFOS</t>
  </si>
  <si>
    <t>EXTRACCION DE BASURA Y DEST. DESECHOS SOLIDOS</t>
  </si>
  <si>
    <t>DIVULGACION E INFORMACION</t>
  </si>
  <si>
    <t>VIATICOS EN EL EXTERIOR</t>
  </si>
  <si>
    <t>TRANSPORTE DE PERSONAS</t>
  </si>
  <si>
    <t>FLETES</t>
  </si>
  <si>
    <t>ARRENDAMIENTO DE EDIFICIOS Y LOCALES</t>
  </si>
  <si>
    <t>ARRENDAMIENTO DE TIERRAS Y TERRENOS</t>
  </si>
  <si>
    <t>ARRENDAMIENTO DE MAQUINAS Y EQUIPO DE OFICINA</t>
  </si>
  <si>
    <t>ARRENDAMIENTO DE MEDIOS DE TRANSPORTE</t>
  </si>
  <si>
    <t>MANTENIM. Y REP. DE EQUIP EDUC Y RECRE.</t>
  </si>
  <si>
    <t>MANTENIM. Y REPARACION EQUIPO COMPUTO</t>
  </si>
  <si>
    <t>SERVICIOS JURIDICOS</t>
  </si>
  <si>
    <t>SERVICIOS DE CAPACITACION</t>
  </si>
  <si>
    <t>SERVICIOS DE INFORMATICA Y SISTEMAS COMPUTARIZADOS</t>
  </si>
  <si>
    <t>OTROS ESTUDIOS Y/O SERVICIOS</t>
  </si>
  <si>
    <t>SERVICIOS DE ATENCION Y PROTOCOLOS</t>
  </si>
  <si>
    <t>SERVICIOS DE VIGILANCIA</t>
  </si>
  <si>
    <t>OTROS SERVICIOS NO PERSONALES</t>
  </si>
  <si>
    <t>MATERIALES Y SUMINISTROS</t>
  </si>
  <si>
    <t>ALIMENTOS PARA PERSONAS</t>
  </si>
  <si>
    <t>PRENDAS DE VESTIR (UNIFORMES)</t>
  </si>
  <si>
    <t>PAPEL DE ESCRITORIO</t>
  </si>
  <si>
    <t>PRODUCTOS DE PAPEL O CARTON</t>
  </si>
  <si>
    <t>ESPECIES TIMBRES Y VALORES</t>
  </si>
  <si>
    <t>COMBUSTIBLES Y LUBRICANTES</t>
  </si>
  <si>
    <t>PRODUCTOS MEDICINALES Y FARMACEUTICOS</t>
  </si>
  <si>
    <t>TINTES, PINTURAS Y COLORANTES</t>
  </si>
  <si>
    <t>PRODUCTOS PLASTICOS, NYLON, VINIL Y P.V.C.</t>
  </si>
  <si>
    <t>PRODUCTOS DE METAL</t>
  </si>
  <si>
    <t>UTILES DE OFICINA</t>
  </si>
  <si>
    <t>UTILES DE LIMPIEZA Y PRODUCTOS SANITARIOS</t>
  </si>
  <si>
    <t xml:space="preserve">UTILES DEPORTIVOS Y RECREATIVOS </t>
  </si>
  <si>
    <t>OTROS MATERIALES Y SUMINISTROS</t>
  </si>
  <si>
    <t>PROPIEDAD, PLANTA Y EQUIPO</t>
  </si>
  <si>
    <t>EQUIPO DE OFICINA</t>
  </si>
  <si>
    <t>EQUIPO DE COMPUTO</t>
  </si>
  <si>
    <t>TRANSFERENCIAS CORRIENTES</t>
  </si>
  <si>
    <t>INDEMNIZACIONES AL PERSONAL</t>
  </si>
  <si>
    <t>VACACIONES PAGADAS POR RETIRO</t>
  </si>
  <si>
    <t>OTRAS TRANSFERENCIAS A PERSONAS</t>
  </si>
  <si>
    <t>TRANSFERENCIAS A ORGANISMOS E INSTITUCIONES INTERNACIONALES</t>
  </si>
  <si>
    <t>TOTAL DE EGRESOS</t>
  </si>
  <si>
    <t>ACUMULADO</t>
  </si>
  <si>
    <t>EQUIPO EDUCACIONAL, CULTURAL Y RECREATIVO</t>
  </si>
  <si>
    <t xml:space="preserve"> 071</t>
  </si>
  <si>
    <t>079</t>
  </si>
  <si>
    <t>1</t>
  </si>
  <si>
    <t xml:space="preserve"> 141</t>
  </si>
  <si>
    <t xml:space="preserve"> 142</t>
  </si>
  <si>
    <t>MANTENIMIENTO Y REPARACION DE MAQUINARIAY EQUIPO</t>
  </si>
  <si>
    <t xml:space="preserve"> 168</t>
  </si>
  <si>
    <t>MANTENIM. DE OTRAS MAQUINAS Y EQUIPO</t>
  </si>
  <si>
    <t>SERVICIOS MEDICO - SANITARIOS</t>
  </si>
  <si>
    <t>PRIMAS Y GASTOS DE SEGUROS Y FIANZAS</t>
  </si>
  <si>
    <t xml:space="preserve"> 194</t>
  </si>
  <si>
    <t>OTRAS COMIS. Y GASTOS BANCARIOS</t>
  </si>
  <si>
    <t>IMPUESTOS, DERECHOS Y TASAS</t>
  </si>
  <si>
    <t>2</t>
  </si>
  <si>
    <t xml:space="preserve"> 233</t>
  </si>
  <si>
    <t xml:space="preserve"> 241</t>
  </si>
  <si>
    <t xml:space="preserve"> 243</t>
  </si>
  <si>
    <t xml:space="preserve"> 267</t>
  </si>
  <si>
    <t xml:space="preserve"> 291</t>
  </si>
  <si>
    <t xml:space="preserve"> 292</t>
  </si>
  <si>
    <t xml:space="preserve"> 299</t>
  </si>
  <si>
    <t>3</t>
  </si>
  <si>
    <t>4</t>
  </si>
  <si>
    <t xml:space="preserve"> 413</t>
  </si>
  <si>
    <t>CUOTA LABORAL IGSS POR PAGAR E IMPUESTOS POR PAGAR</t>
  </si>
  <si>
    <t>CUADRO DE TRANSFERENCIA Y MODIFICACIONES</t>
  </si>
  <si>
    <t>Presupuesto CDAG/OTRAS FUENTES</t>
  </si>
  <si>
    <t>AMPLIACION OTRAS FUENTES</t>
  </si>
  <si>
    <t>Cuota Laboral IGSS por Pagar</t>
  </si>
  <si>
    <t>Impuestos por pagar</t>
  </si>
  <si>
    <t xml:space="preserve">Retención ISR Servicios Profesionales </t>
  </si>
  <si>
    <t xml:space="preserve">Retención ISR Servicios Laborales </t>
  </si>
  <si>
    <t>Retencion ISR Sorteos</t>
  </si>
  <si>
    <t xml:space="preserve">Retención ISR a personas no recidentes </t>
  </si>
  <si>
    <t xml:space="preserve">Retención IGSS Laboral </t>
  </si>
  <si>
    <t>Devolucion de ISR</t>
  </si>
  <si>
    <t>Devoluciones a Comité Olimpico Guatemalteco</t>
  </si>
  <si>
    <t>Timbres Fiscales</t>
  </si>
  <si>
    <t>Impresión y Encuadernacion</t>
  </si>
  <si>
    <t>Apoyo  para juegos deportivos Nacionales</t>
  </si>
  <si>
    <t>Cuentas por pagar</t>
  </si>
  <si>
    <t xml:space="preserve"> LIBROS REVISTA Y PERIODICOS</t>
  </si>
  <si>
    <t xml:space="preserve">Bono 14 </t>
  </si>
  <si>
    <t>Ejecucion Presupuestaria de Ingresos</t>
  </si>
  <si>
    <t>DISPONIBLE</t>
  </si>
  <si>
    <t>TOTAL DE PORCENTAJE EJECUTADO SEGÚN DISTRIBUCION</t>
  </si>
  <si>
    <t>FEBRERO</t>
  </si>
  <si>
    <t>ASOCIACION DEPORTIVA NACIONAL DE GUATEMALA -ASOKIGUA-</t>
  </si>
  <si>
    <t>HORARIO DE ATENCIÓN A CLIENTE: 08:00 a 16:00 hrs</t>
  </si>
  <si>
    <t>ASOCIACION DEPORTIVA NACIONAL DE KICKBOXING GUATEMALA -ASOKIGUA-</t>
  </si>
  <si>
    <t xml:space="preserve">Devoluciones a Confederacion Deportiva Autonoma de Guatemala </t>
  </si>
  <si>
    <t>KICKBOXING ADAPTADO</t>
  </si>
  <si>
    <t>Apoyo extraordinario World Combat Games</t>
  </si>
  <si>
    <t>MARZO</t>
  </si>
  <si>
    <t xml:space="preserve">ABRIL </t>
  </si>
  <si>
    <t xml:space="preserve">MAYO </t>
  </si>
  <si>
    <t>JUNIO</t>
  </si>
  <si>
    <t>I CUATRIMESTRE</t>
  </si>
  <si>
    <t xml:space="preserve">RESPONSABLE DE PUBLICACION: MARIO RODOLFO CASTRO ESCOBAR </t>
  </si>
  <si>
    <t>RESPONSABLE DE PUBLICACION: MARIO RODOLFO CASTRO ESCOBAR</t>
  </si>
  <si>
    <t>JULIO</t>
  </si>
  <si>
    <t>Arrendamiento de otras máquinas y equipo</t>
  </si>
  <si>
    <t>AGOSTO</t>
  </si>
  <si>
    <t>SEPTIEMBRE</t>
  </si>
  <si>
    <t>OCTUBRE</t>
  </si>
  <si>
    <t>NOVIEMBRE</t>
  </si>
  <si>
    <t>DICIEMBRE</t>
  </si>
  <si>
    <t xml:space="preserve">NOVIEMBRE </t>
  </si>
  <si>
    <t>II CUATRIMESTRE</t>
  </si>
  <si>
    <t>Numeral 7</t>
  </si>
  <si>
    <t>NUMERAL 7</t>
  </si>
  <si>
    <t>Ejecucion Presupuestaria de Ingresos 2024</t>
  </si>
  <si>
    <t xml:space="preserve">GASTOS DE REPRESENTACION </t>
  </si>
  <si>
    <t>SERV. POR ACTUACIONES ARTISTICAS Y DEPORTIVOS</t>
  </si>
  <si>
    <t xml:space="preserve">OTROS PRODUCTOS DE PAPEL, CARTON E IMPRESOS </t>
  </si>
  <si>
    <t xml:space="preserve">Retención Timbres Fiscal </t>
  </si>
  <si>
    <t>Cuenta por cobrar</t>
  </si>
  <si>
    <t>Fianza de fidelidad</t>
  </si>
  <si>
    <t>Ingresos Propios  y/o donaciones</t>
  </si>
  <si>
    <t>Inscripciones, cuotas afiliaciones</t>
  </si>
  <si>
    <t>MAYO</t>
  </si>
  <si>
    <t>UTILES, ACCESORIOS Y MATERIALES ELECTRICOS</t>
  </si>
  <si>
    <t>Devolucion</t>
  </si>
  <si>
    <t>Traslado de fondos a la cuenta BI</t>
  </si>
  <si>
    <t>Ayudas extraordinaria C.O.G.</t>
  </si>
  <si>
    <t>III CUATRIMESTRE</t>
  </si>
  <si>
    <t>(502) 2223-9500 EXT 252</t>
  </si>
  <si>
    <t>FECHA ACTUALIZADA: DICIEMBRE 2024.</t>
  </si>
  <si>
    <t>ENCARGADO ACCESO A LA INFORMACION PUBLICA : NOE ALEXANDER LOPEZ BARRIENTOS</t>
  </si>
  <si>
    <t>ENCARGADO ACCESO A LA INFORMACION PUBLICA  : NOE ALEXANDER LOPEZ BARRIENTOS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</si>
</sst>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&quot;Q&quot;#,##0.00"/>
    <numFmt numFmtId="166" formatCode="#,##0.00;[Red]#,##0.00"/>
    <numFmt numFmtId="167" formatCode="_(&quot;Q&quot;* #,##0.00_);_(&quot;Q&quot;* \(#,##0.00\);_(&quot;Q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4" fontId="6" fillId="2" borderId="2" xfId="0" applyNumberFormat="1" applyFont="1" applyFill="1" applyBorder="1"/>
    <xf numFmtId="4" fontId="5" fillId="2" borderId="2" xfId="0" applyNumberFormat="1" applyFont="1" applyFill="1" applyBorder="1"/>
    <xf numFmtId="0" fontId="2" fillId="2" borderId="0" xfId="0" applyFont="1" applyFill="1" applyAlignment="1">
      <alignment horizontal="center"/>
    </xf>
    <xf numFmtId="4" fontId="5" fillId="2" borderId="0" xfId="0" applyNumberFormat="1" applyFont="1" applyFill="1" applyAlignment="1">
      <alignment wrapText="1"/>
    </xf>
    <xf numFmtId="4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vertical="center"/>
    </xf>
    <xf numFmtId="4" fontId="5" fillId="2" borderId="0" xfId="0" applyNumberFormat="1" applyFont="1" applyFill="1"/>
    <xf numFmtId="0" fontId="6" fillId="2" borderId="0" xfId="0" applyFont="1" applyFill="1" applyAlignment="1">
      <alignment horizontal="center"/>
    </xf>
    <xf numFmtId="4" fontId="6" fillId="2" borderId="0" xfId="0" applyNumberFormat="1" applyFont="1" applyFill="1"/>
    <xf numFmtId="0" fontId="6" fillId="2" borderId="12" xfId="0" applyFont="1" applyFill="1" applyBorder="1" applyAlignment="1">
      <alignment horizontal="left" wrapText="1"/>
    </xf>
    <xf numFmtId="40" fontId="6" fillId="0" borderId="2" xfId="0" applyNumberFormat="1" applyFont="1" applyBorder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4" fontId="6" fillId="0" borderId="2" xfId="0" applyNumberFormat="1" applyFont="1" applyBorder="1"/>
    <xf numFmtId="4" fontId="6" fillId="0" borderId="0" xfId="0" applyNumberFormat="1" applyFont="1"/>
    <xf numFmtId="0" fontId="2" fillId="0" borderId="0" xfId="0" applyFont="1" applyAlignment="1">
      <alignment horizontal="center" vertical="center"/>
    </xf>
    <xf numFmtId="4" fontId="5" fillId="2" borderId="2" xfId="1" applyNumberFormat="1" applyFont="1" applyFill="1" applyBorder="1"/>
    <xf numFmtId="0" fontId="5" fillId="2" borderId="2" xfId="0" applyFont="1" applyFill="1" applyBorder="1"/>
    <xf numFmtId="2" fontId="5" fillId="2" borderId="2" xfId="0" applyNumberFormat="1" applyFont="1" applyFill="1" applyBorder="1"/>
    <xf numFmtId="4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8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9" xfId="0" applyNumberFormat="1" applyFont="1" applyFill="1" applyBorder="1"/>
    <xf numFmtId="4" fontId="5" fillId="2" borderId="20" xfId="0" applyNumberFormat="1" applyFont="1" applyFill="1" applyBorder="1"/>
    <xf numFmtId="4" fontId="5" fillId="2" borderId="21" xfId="0" applyNumberFormat="1" applyFont="1" applyFill="1" applyBorder="1"/>
    <xf numFmtId="4" fontId="5" fillId="2" borderId="23" xfId="0" applyNumberFormat="1" applyFont="1" applyFill="1" applyBorder="1"/>
    <xf numFmtId="4" fontId="5" fillId="2" borderId="24" xfId="0" applyNumberFormat="1" applyFont="1" applyFill="1" applyBorder="1"/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" fontId="8" fillId="0" borderId="10" xfId="0" applyNumberFormat="1" applyFont="1" applyBorder="1" applyAlignment="1" applyProtection="1">
      <alignment horizontal="center" vertical="center" wrapText="1"/>
      <protection locked="0"/>
    </xf>
    <xf numFmtId="4" fontId="5" fillId="0" borderId="2" xfId="0" applyNumberFormat="1" applyFont="1" applyBorder="1"/>
    <xf numFmtId="4" fontId="5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6" fillId="0" borderId="0" xfId="0" applyFont="1"/>
    <xf numFmtId="166" fontId="6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4" fontId="8" fillId="0" borderId="9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wrapText="1"/>
    </xf>
    <xf numFmtId="4" fontId="8" fillId="0" borderId="16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top" wrapText="1"/>
    </xf>
    <xf numFmtId="165" fontId="8" fillId="0" borderId="17" xfId="0" applyNumberFormat="1" applyFont="1" applyBorder="1" applyAlignment="1">
      <alignment horizontal="center" vertical="top" wrapText="1"/>
    </xf>
    <xf numFmtId="4" fontId="8" fillId="0" borderId="13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66" fontId="8" fillId="0" borderId="25" xfId="0" applyNumberFormat="1" applyFont="1" applyBorder="1" applyAlignment="1">
      <alignment horizontal="center" vertical="center"/>
    </xf>
    <xf numFmtId="4" fontId="6" fillId="0" borderId="19" xfId="0" applyNumberFormat="1" applyFont="1" applyBorder="1"/>
    <xf numFmtId="166" fontId="6" fillId="0" borderId="20" xfId="0" applyNumberFormat="1" applyFont="1" applyBorder="1"/>
    <xf numFmtId="166" fontId="6" fillId="0" borderId="21" xfId="0" applyNumberFormat="1" applyFont="1" applyBorder="1"/>
    <xf numFmtId="4" fontId="5" fillId="2" borderId="4" xfId="0" applyNumberFormat="1" applyFont="1" applyFill="1" applyBorder="1" applyAlignment="1">
      <alignment wrapText="1"/>
    </xf>
    <xf numFmtId="4" fontId="5" fillId="2" borderId="26" xfId="0" applyNumberFormat="1" applyFont="1" applyFill="1" applyBorder="1" applyAlignment="1">
      <alignment horizontal="center" wrapText="1"/>
    </xf>
    <xf numFmtId="4" fontId="5" fillId="2" borderId="19" xfId="1" applyNumberFormat="1" applyFont="1" applyFill="1" applyBorder="1"/>
    <xf numFmtId="4" fontId="5" fillId="0" borderId="23" xfId="0" applyNumberFormat="1" applyFont="1" applyBorder="1"/>
    <xf numFmtId="40" fontId="6" fillId="2" borderId="2" xfId="0" applyNumberFormat="1" applyFont="1" applyFill="1" applyBorder="1"/>
    <xf numFmtId="4" fontId="5" fillId="0" borderId="24" xfId="0" applyNumberFormat="1" applyFont="1" applyBorder="1"/>
    <xf numFmtId="0" fontId="6" fillId="0" borderId="11" xfId="0" applyFont="1" applyBorder="1" applyAlignment="1">
      <alignment horizont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0" fontId="4" fillId="0" borderId="2" xfId="0" applyFont="1" applyBorder="1"/>
    <xf numFmtId="40" fontId="6" fillId="2" borderId="19" xfId="0" applyNumberFormat="1" applyFont="1" applyFill="1" applyBorder="1"/>
    <xf numFmtId="4" fontId="6" fillId="0" borderId="23" xfId="0" applyNumberFormat="1" applyFont="1" applyBorder="1"/>
    <xf numFmtId="4" fontId="6" fillId="2" borderId="19" xfId="1" applyNumberFormat="1" applyFont="1" applyFill="1" applyBorder="1"/>
    <xf numFmtId="4" fontId="6" fillId="2" borderId="21" xfId="0" applyNumberFormat="1" applyFont="1" applyFill="1" applyBorder="1"/>
    <xf numFmtId="4" fontId="5" fillId="2" borderId="27" xfId="0" applyNumberFormat="1" applyFont="1" applyFill="1" applyBorder="1"/>
    <xf numFmtId="4" fontId="5" fillId="2" borderId="28" xfId="0" applyNumberFormat="1" applyFont="1" applyFill="1" applyBorder="1"/>
    <xf numFmtId="4" fontId="5" fillId="2" borderId="29" xfId="0" applyNumberFormat="1" applyFont="1" applyFill="1" applyBorder="1"/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4" fontId="5" fillId="2" borderId="22" xfId="0" applyNumberFormat="1" applyFont="1" applyFill="1" applyBorder="1" applyAlignment="1">
      <alignment wrapText="1"/>
    </xf>
    <xf numFmtId="0" fontId="7" fillId="2" borderId="13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 wrapText="1"/>
    </xf>
    <xf numFmtId="4" fontId="6" fillId="2" borderId="2" xfId="2" applyNumberFormat="1" applyFont="1" applyFill="1" applyBorder="1" applyAlignment="1" applyProtection="1">
      <alignment vertical="center"/>
      <protection locked="0"/>
    </xf>
    <xf numFmtId="49" fontId="6" fillId="2" borderId="11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 wrapText="1"/>
    </xf>
    <xf numFmtId="4" fontId="6" fillId="2" borderId="23" xfId="0" applyNumberFormat="1" applyFont="1" applyFill="1" applyBorder="1"/>
    <xf numFmtId="167" fontId="6" fillId="2" borderId="2" xfId="0" applyNumberFormat="1" applyFont="1" applyFill="1" applyBorder="1"/>
    <xf numFmtId="167" fontId="6" fillId="0" borderId="2" xfId="0" applyNumberFormat="1" applyFont="1" applyBorder="1"/>
    <xf numFmtId="0" fontId="10" fillId="2" borderId="2" xfId="0" applyFont="1" applyFill="1" applyBorder="1"/>
    <xf numFmtId="0" fontId="6" fillId="0" borderId="2" xfId="0" applyFont="1" applyBorder="1"/>
    <xf numFmtId="167" fontId="6" fillId="2" borderId="19" xfId="0" applyNumberFormat="1" applyFont="1" applyFill="1" applyBorder="1"/>
    <xf numFmtId="167" fontId="5" fillId="2" borderId="2" xfId="0" applyNumberFormat="1" applyFont="1" applyFill="1" applyBorder="1"/>
    <xf numFmtId="40" fontId="6" fillId="0" borderId="19" xfId="0" applyNumberFormat="1" applyFont="1" applyBorder="1"/>
    <xf numFmtId="4" fontId="2" fillId="0" borderId="0" xfId="0" applyNumberFormat="1" applyFont="1" applyAlignment="1">
      <alignment horizontal="center" vertical="center"/>
    </xf>
    <xf numFmtId="4" fontId="4" fillId="0" borderId="0" xfId="0" applyNumberFormat="1" applyFont="1"/>
    <xf numFmtId="4" fontId="5" fillId="2" borderId="30" xfId="0" applyNumberFormat="1" applyFont="1" applyFill="1" applyBorder="1"/>
    <xf numFmtId="4" fontId="5" fillId="2" borderId="31" xfId="0" applyNumberFormat="1" applyFont="1" applyFill="1" applyBorder="1"/>
    <xf numFmtId="4" fontId="5" fillId="2" borderId="32" xfId="0" applyNumberFormat="1" applyFont="1" applyFill="1" applyBorder="1"/>
    <xf numFmtId="4" fontId="8" fillId="2" borderId="9" xfId="0" applyNumberFormat="1" applyFont="1" applyFill="1" applyBorder="1" applyAlignment="1" applyProtection="1">
      <alignment horizontal="center" vertical="top" wrapText="1"/>
      <protection locked="0"/>
    </xf>
    <xf numFmtId="4" fontId="8" fillId="2" borderId="33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33" xfId="0" applyNumberFormat="1" applyFont="1" applyFill="1" applyBorder="1" applyAlignment="1" applyProtection="1">
      <alignment horizontal="center" vertical="top" wrapText="1"/>
      <protection locked="0"/>
    </xf>
    <xf numFmtId="4" fontId="5" fillId="0" borderId="34" xfId="0" applyNumberFormat="1" applyFont="1" applyBorder="1"/>
    <xf numFmtId="166" fontId="6" fillId="0" borderId="35" xfId="0" applyNumberFormat="1" applyFont="1" applyBorder="1"/>
    <xf numFmtId="4" fontId="8" fillId="0" borderId="36" xfId="0" applyNumberFormat="1" applyFont="1" applyBorder="1" applyAlignment="1" applyProtection="1">
      <alignment horizontal="center" vertical="center" wrapText="1"/>
      <protection locked="0"/>
    </xf>
    <xf numFmtId="4" fontId="8" fillId="0" borderId="37" xfId="0" applyNumberFormat="1" applyFont="1" applyBorder="1" applyAlignment="1" applyProtection="1">
      <alignment horizontal="center" vertical="top" wrapText="1"/>
      <protection locked="0"/>
    </xf>
    <xf numFmtId="4" fontId="8" fillId="0" borderId="37" xfId="0" applyNumberFormat="1" applyFont="1" applyBorder="1" applyAlignment="1" applyProtection="1">
      <alignment horizontal="center" vertical="center" wrapText="1"/>
      <protection locked="0"/>
    </xf>
    <xf numFmtId="165" fontId="8" fillId="0" borderId="38" xfId="0" applyNumberFormat="1" applyFont="1" applyBorder="1" applyAlignment="1" applyProtection="1">
      <alignment horizontal="center" vertical="top" wrapText="1"/>
      <protection locked="0"/>
    </xf>
    <xf numFmtId="4" fontId="8" fillId="0" borderId="39" xfId="0" applyNumberFormat="1" applyFont="1" applyBorder="1" applyAlignment="1" applyProtection="1">
      <alignment horizontal="center" vertical="center" wrapText="1"/>
      <protection locked="0"/>
    </xf>
    <xf numFmtId="4" fontId="8" fillId="0" borderId="33" xfId="0" applyNumberFormat="1" applyFont="1" applyBorder="1" applyAlignment="1" applyProtection="1">
      <alignment horizontal="center" vertical="center" wrapText="1"/>
      <protection locked="0"/>
    </xf>
    <xf numFmtId="4" fontId="8" fillId="0" borderId="5" xfId="0" applyNumberFormat="1" applyFont="1" applyBorder="1" applyAlignment="1" applyProtection="1">
      <alignment horizontal="center" vertical="center" wrapText="1"/>
      <protection locked="0"/>
    </xf>
    <xf numFmtId="4" fontId="8" fillId="0" borderId="38" xfId="0" applyNumberFormat="1" applyFont="1" applyBorder="1" applyAlignment="1" applyProtection="1">
      <alignment horizontal="center" vertical="center" wrapText="1"/>
      <protection locked="0"/>
    </xf>
    <xf numFmtId="166" fontId="8" fillId="0" borderId="6" xfId="0" applyNumberFormat="1" applyFont="1" applyBorder="1" applyAlignment="1">
      <alignment horizontal="center" vertical="center"/>
    </xf>
    <xf numFmtId="4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40" fontId="6" fillId="2" borderId="27" xfId="0" applyNumberFormat="1" applyFont="1" applyFill="1" applyBorder="1"/>
    <xf numFmtId="40" fontId="6" fillId="2" borderId="28" xfId="0" applyNumberFormat="1" applyFont="1" applyFill="1" applyBorder="1"/>
    <xf numFmtId="0" fontId="6" fillId="2" borderId="40" xfId="0" applyFont="1" applyFill="1" applyBorder="1" applyAlignment="1">
      <alignment horizontal="left" wrapText="1"/>
    </xf>
    <xf numFmtId="4" fontId="6" fillId="2" borderId="41" xfId="0" applyNumberFormat="1" applyFont="1" applyFill="1" applyBorder="1"/>
    <xf numFmtId="4" fontId="6" fillId="0" borderId="41" xfId="0" applyNumberFormat="1" applyFont="1" applyBorder="1"/>
    <xf numFmtId="40" fontId="6" fillId="2" borderId="20" xfId="0" applyNumberFormat="1" applyFont="1" applyFill="1" applyBorder="1"/>
    <xf numFmtId="40" fontId="6" fillId="0" borderId="21" xfId="0" applyNumberFormat="1" applyFont="1" applyBorder="1"/>
    <xf numFmtId="40" fontId="6" fillId="2" borderId="21" xfId="0" applyNumberFormat="1" applyFont="1" applyFill="1" applyBorder="1"/>
    <xf numFmtId="0" fontId="4" fillId="0" borderId="23" xfId="0" applyFont="1" applyBorder="1"/>
    <xf numFmtId="40" fontId="6" fillId="2" borderId="23" xfId="0" applyNumberFormat="1" applyFont="1" applyFill="1" applyBorder="1"/>
    <xf numFmtId="167" fontId="6" fillId="2" borderId="23" xfId="0" applyNumberFormat="1" applyFont="1" applyFill="1" applyBorder="1"/>
    <xf numFmtId="0" fontId="10" fillId="2" borderId="23" xfId="0" applyFont="1" applyFill="1" applyBorder="1"/>
    <xf numFmtId="40" fontId="6" fillId="0" borderId="23" xfId="0" applyNumberFormat="1" applyFont="1" applyBorder="1"/>
    <xf numFmtId="0" fontId="4" fillId="0" borderId="24" xfId="0" applyFont="1" applyBorder="1"/>
    <xf numFmtId="4" fontId="5" fillId="2" borderId="42" xfId="0" applyNumberFormat="1" applyFont="1" applyFill="1" applyBorder="1"/>
    <xf numFmtId="4" fontId="5" fillId="0" borderId="19" xfId="0" applyNumberFormat="1" applyFont="1" applyBorder="1"/>
    <xf numFmtId="167" fontId="5" fillId="2" borderId="19" xfId="0" applyNumberFormat="1" applyFont="1" applyFill="1" applyBorder="1"/>
    <xf numFmtId="4" fontId="5" fillId="2" borderId="40" xfId="0" applyNumberFormat="1" applyFont="1" applyFill="1" applyBorder="1" applyAlignment="1">
      <alignment wrapText="1"/>
    </xf>
    <xf numFmtId="4" fontId="5" fillId="2" borderId="41" xfId="0" applyNumberFormat="1" applyFont="1" applyFill="1" applyBorder="1"/>
    <xf numFmtId="4" fontId="5" fillId="0" borderId="41" xfId="0" applyNumberFormat="1" applyFont="1" applyBorder="1"/>
    <xf numFmtId="167" fontId="5" fillId="2" borderId="23" xfId="0" applyNumberFormat="1" applyFont="1" applyFill="1" applyBorder="1"/>
    <xf numFmtId="44" fontId="5" fillId="2" borderId="23" xfId="0" applyNumberFormat="1" applyFont="1" applyFill="1" applyBorder="1"/>
    <xf numFmtId="4" fontId="11" fillId="0" borderId="41" xfId="0" applyNumberFormat="1" applyFont="1" applyBorder="1"/>
    <xf numFmtId="4" fontId="11" fillId="0" borderId="43" xfId="0" applyNumberFormat="1" applyFont="1" applyBorder="1"/>
    <xf numFmtId="4" fontId="7" fillId="0" borderId="41" xfId="0" applyNumberFormat="1" applyFont="1" applyBorder="1"/>
    <xf numFmtId="4" fontId="6" fillId="2" borderId="2" xfId="1" applyNumberFormat="1" applyFont="1" applyFill="1" applyBorder="1"/>
    <xf numFmtId="4" fontId="8" fillId="2" borderId="26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top" wrapText="1"/>
    </xf>
    <xf numFmtId="4" fontId="8" fillId="2" borderId="19" xfId="0" applyNumberFormat="1" applyFont="1" applyFill="1" applyBorder="1" applyAlignment="1">
      <alignment horizontal="center" vertical="center"/>
    </xf>
    <xf numFmtId="165" fontId="8" fillId="2" borderId="19" xfId="0" applyNumberFormat="1" applyFont="1" applyFill="1" applyBorder="1" applyAlignment="1">
      <alignment horizontal="center" vertical="top" wrapText="1"/>
    </xf>
    <xf numFmtId="4" fontId="8" fillId="2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Border="1"/>
    <xf numFmtId="0" fontId="4" fillId="0" borderId="21" xfId="0" applyFont="1" applyBorder="1"/>
    <xf numFmtId="4" fontId="6" fillId="2" borderId="24" xfId="0" applyNumberFormat="1" applyFont="1" applyFill="1" applyBorder="1"/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Kickboxing%202024\CAJAS%20FISCALES%202024\CAJAS\CAJA%20FISCAL%20NOVIEMBRE%202024%20ASOKIGU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Kickboxing%202024\CAJAS%20FISCALES%202024\CAJAS\CAJA%20FISCAL%20SEPTIEMBRE%202024%20ASOKIGU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Kickboxing%202024\CAJAS%20FISCALES%202024\CAJAS\CAJA%20FISCAL%20MARZO%2020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JA%20FISCAL%20DICIEMBRE%202024%20ASOKIGUA%20REVISADO%20WEND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 200-A-3 Ingresos (1)"/>
      <sheetName val="Egr.01"/>
      <sheetName val="Egr.02"/>
      <sheetName val="Egr.03"/>
      <sheetName val="Forma 200-A-3 INFO. ADICION (2)"/>
      <sheetName val="EJECUCION PRESUPUESTARIA (2)"/>
      <sheetName val="INTE. CAJ FIS. (2)"/>
      <sheetName val="Estado de Resultados (2)"/>
      <sheetName val="Balance (2)"/>
      <sheetName val="Hoja Trab. Final (2)"/>
      <sheetName val="Flujo Final (2)"/>
      <sheetName val="Notas (2)"/>
      <sheetName val="DIARIO (2)"/>
      <sheetName val="TRASLADOS (2)"/>
      <sheetName val="Egr.9"/>
      <sheetName val="Egr.10"/>
      <sheetName val="Sheet1"/>
      <sheetName val="PRES5"/>
      <sheetName val="PRES4"/>
      <sheetName val="Ejecucion Presup 08 COMPARATIVA"/>
      <sheetName val="RESULTADOS ACUMULADO 2008"/>
    </sheetNames>
    <sheetDataSet>
      <sheetData sheetId="0">
        <row r="30">
          <cell r="G30">
            <v>38020.400000000001</v>
          </cell>
        </row>
        <row r="55">
          <cell r="G55">
            <v>26400</v>
          </cell>
        </row>
        <row r="62">
          <cell r="H62">
            <v>53.76</v>
          </cell>
        </row>
        <row r="64">
          <cell r="H64">
            <v>489.25</v>
          </cell>
        </row>
        <row r="65">
          <cell r="H65">
            <v>540.42000000000007</v>
          </cell>
        </row>
        <row r="66">
          <cell r="H66">
            <v>455.67600000000004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 200-A-3 Ingresos (1)"/>
      <sheetName val="Egr.01"/>
      <sheetName val="Egr.02"/>
      <sheetName val="Egr.03"/>
      <sheetName val="Forma 200-A-3 INFO. ADICION (2)"/>
      <sheetName val="EJECUCION PRESUPUESTARIA (2)"/>
      <sheetName val="INTE. CAJ FIS. (2)"/>
      <sheetName val="Estado de Resultados (2)"/>
      <sheetName val="Balance (2)"/>
      <sheetName val="Hoja Trab. Final (2)"/>
      <sheetName val="Flujo Final (2)"/>
      <sheetName val="Notas (2)"/>
      <sheetName val="DIARIO (2)"/>
      <sheetName val="TRASLADOS (2)"/>
      <sheetName val="Egr.9"/>
      <sheetName val="Egr.10"/>
      <sheetName val="Sheet1"/>
      <sheetName val="PRES5"/>
      <sheetName val="PRES4"/>
      <sheetName val="Ejecucion Presup 08 COMPARATIVA"/>
      <sheetName val="RESULTADOS ACUMULADO 2008"/>
    </sheetNames>
    <sheetDataSet>
      <sheetData sheetId="0">
        <row r="21">
          <cell r="G21">
            <v>6560</v>
          </cell>
        </row>
        <row r="22">
          <cell r="G22">
            <v>660</v>
          </cell>
        </row>
        <row r="23">
          <cell r="G23">
            <v>0</v>
          </cell>
        </row>
        <row r="24">
          <cell r="G24">
            <v>2180</v>
          </cell>
        </row>
        <row r="25">
          <cell r="G25">
            <v>2120</v>
          </cell>
        </row>
        <row r="26">
          <cell r="G26">
            <v>1600</v>
          </cell>
        </row>
        <row r="27">
          <cell r="G27">
            <v>4190</v>
          </cell>
        </row>
        <row r="28">
          <cell r="G28">
            <v>1480</v>
          </cell>
        </row>
        <row r="29">
          <cell r="G29">
            <v>2900</v>
          </cell>
        </row>
        <row r="30">
          <cell r="G30">
            <v>2295</v>
          </cell>
        </row>
        <row r="31">
          <cell r="G31">
            <v>750</v>
          </cell>
        </row>
        <row r="32">
          <cell r="G32">
            <v>2620</v>
          </cell>
        </row>
        <row r="33">
          <cell r="G33">
            <v>1850</v>
          </cell>
        </row>
        <row r="34">
          <cell r="G34">
            <v>870</v>
          </cell>
        </row>
        <row r="35">
          <cell r="G35">
            <v>1230</v>
          </cell>
        </row>
        <row r="36">
          <cell r="G36">
            <v>5075</v>
          </cell>
        </row>
        <row r="37">
          <cell r="G37">
            <v>0</v>
          </cell>
        </row>
        <row r="38">
          <cell r="G38">
            <v>7095</v>
          </cell>
        </row>
        <row r="39">
          <cell r="G39">
            <v>600</v>
          </cell>
        </row>
        <row r="40">
          <cell r="G40">
            <v>1970</v>
          </cell>
        </row>
        <row r="41">
          <cell r="G41">
            <v>1460</v>
          </cell>
        </row>
        <row r="42">
          <cell r="G42">
            <v>4000</v>
          </cell>
        </row>
        <row r="43">
          <cell r="G43">
            <v>3395</v>
          </cell>
        </row>
        <row r="44">
          <cell r="G44">
            <v>1980</v>
          </cell>
        </row>
        <row r="46">
          <cell r="G46">
            <v>444.15</v>
          </cell>
        </row>
        <row r="53">
          <cell r="H53">
            <v>53.76</v>
          </cell>
        </row>
        <row r="55">
          <cell r="H55">
            <v>489.25</v>
          </cell>
        </row>
        <row r="56">
          <cell r="H56">
            <v>230</v>
          </cell>
        </row>
        <row r="57">
          <cell r="H57">
            <v>362.55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 200-A-3 Ingresos (4)"/>
      <sheetName val="Forma 200-A-3 Ingresos (3)"/>
      <sheetName val="Egr.01"/>
      <sheetName val="Egr.02"/>
      <sheetName val="Egr.03"/>
      <sheetName val="Forma 200-A-3 INFO. ADICION (2)"/>
      <sheetName val="EJECUCION PRESUPUESTARIA (2)"/>
      <sheetName val="INTE. CAJ FIS. (2)"/>
      <sheetName val="Estado de Resultados (2)"/>
      <sheetName val="Balance (2)"/>
      <sheetName val="Hoja Trab. Final (2)"/>
      <sheetName val="Flujo Final (2)"/>
      <sheetName val="Notas (2)"/>
      <sheetName val="DIARIO (2)"/>
      <sheetName val="TRASLADOS (2)"/>
      <sheetName val="Egr.9"/>
      <sheetName val="Egr.10"/>
      <sheetName val="Sheet1"/>
      <sheetName val="PRES5"/>
      <sheetName val="PRES4"/>
      <sheetName val="Ejecucion Presup 08 COMPARATIVA"/>
      <sheetName val="RESULTADOS ACUMULADO 2008"/>
    </sheetNames>
    <sheetDataSet>
      <sheetData sheetId="0">
        <row r="36">
          <cell r="H36">
            <v>53.76</v>
          </cell>
        </row>
        <row r="38">
          <cell r="H38">
            <v>489.25</v>
          </cell>
        </row>
        <row r="40">
          <cell r="H40">
            <v>293.55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 200-A-3 Ingresos (1)"/>
      <sheetName val="Egr.01"/>
      <sheetName val="Egr.02"/>
      <sheetName val="Egr.03"/>
      <sheetName val="Forma 200-A-3 INFO. ADICION (2)"/>
      <sheetName val="EJECUCION PRESUPUESTARIA (2)"/>
      <sheetName val="INTE. CAJ FIS. (2)"/>
      <sheetName val="Estado de Resultados (2)"/>
      <sheetName val="Balance (2)"/>
      <sheetName val="Hoja Trab. Final (2)"/>
      <sheetName val="Flujo Final (2)"/>
      <sheetName val="Notas (2)"/>
      <sheetName val="DIARIO (2)"/>
      <sheetName val="TRASLADOS (2)"/>
      <sheetName val="Egr.9"/>
      <sheetName val="Egr.10"/>
      <sheetName val="Sheet1"/>
      <sheetName val="PRES5"/>
      <sheetName val="PRES4"/>
      <sheetName val="Ejecucion Presup 08 COMPARATIVA"/>
      <sheetName val="RESULTADOS ACUMULADO 2008"/>
    </sheetNames>
    <sheetDataSet>
      <sheetData sheetId="0">
        <row r="34">
          <cell r="H34">
            <v>53.76</v>
          </cell>
        </row>
        <row r="36">
          <cell r="H36">
            <v>489.25</v>
          </cell>
        </row>
        <row r="38">
          <cell r="H38">
            <v>293.55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X145"/>
  <sheetViews>
    <sheetView view="pageBreakPreview" topLeftCell="A112" zoomScale="60" zoomScaleNormal="100" workbookViewId="0">
      <selection activeCell="R35" sqref="R35"/>
    </sheetView>
  </sheetViews>
  <sheetFormatPr baseColWidth="10" defaultColWidth="11" defaultRowHeight="12" x14ac:dyDescent="0.2"/>
  <cols>
    <col min="1" max="1" width="6" style="2" customWidth="1"/>
    <col min="2" max="2" width="25.5703125" style="2" bestFit="1" customWidth="1"/>
    <col min="3" max="3" width="11.7109375" style="2" hidden="1" customWidth="1"/>
    <col min="4" max="4" width="8.7109375" style="2" hidden="1" customWidth="1"/>
    <col min="5" max="5" width="9.85546875" style="2" hidden="1" customWidth="1"/>
    <col min="6" max="6" width="12.140625" style="2" hidden="1" customWidth="1"/>
    <col min="7" max="7" width="11.7109375" style="2" hidden="1" customWidth="1"/>
    <col min="8" max="8" width="11.28515625" style="2" customWidth="1"/>
    <col min="9" max="9" width="13.5703125" style="2" customWidth="1"/>
    <col min="10" max="11" width="11.28515625" style="2" customWidth="1"/>
    <col min="12" max="12" width="12" style="2" hidden="1" customWidth="1"/>
    <col min="13" max="16" width="11.28515625" style="2" customWidth="1"/>
    <col min="17" max="17" width="13.140625" style="2" hidden="1" customWidth="1"/>
    <col min="18" max="21" width="11.28515625" style="2" customWidth="1"/>
    <col min="22" max="22" width="13" style="2" hidden="1" customWidth="1"/>
    <col min="23" max="23" width="12.42578125" style="2" hidden="1" customWidth="1"/>
    <col min="24" max="24" width="11" style="2" hidden="1" customWidth="1"/>
    <col min="25" max="25" width="3.5703125" style="2" customWidth="1"/>
    <col min="26" max="16384" width="11" style="2"/>
  </cols>
  <sheetData>
    <row r="8" spans="2:23" x14ac:dyDescent="0.2">
      <c r="B8" s="157" t="s">
        <v>120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</row>
    <row r="9" spans="2:23" x14ac:dyDescent="0.2">
      <c r="B9" s="157" t="s">
        <v>159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</row>
    <row r="10" spans="2:23" x14ac:dyDescent="0.2">
      <c r="B10" s="157" t="s">
        <v>161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</row>
    <row r="11" spans="2:23" x14ac:dyDescent="0.2">
      <c r="B11" s="157" t="s">
        <v>131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</row>
    <row r="12" spans="2:23" x14ac:dyDescent="0.2">
      <c r="B12" s="157" t="s">
        <v>160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</row>
    <row r="13" spans="2:23" ht="20.25" customHeight="1" x14ac:dyDescent="0.2">
      <c r="B13" s="157" t="s">
        <v>143</v>
      </c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</row>
    <row r="14" spans="2:23" x14ac:dyDescent="0.2">
      <c r="B14" s="3" t="s">
        <v>144</v>
      </c>
      <c r="C14" s="3"/>
      <c r="D14" s="3"/>
      <c r="E14" s="3"/>
      <c r="F14" s="3"/>
      <c r="G14" s="3"/>
      <c r="H14" s="3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2:23" ht="13.5" customHeight="1" thickBot="1" x14ac:dyDescent="0.25">
      <c r="B15" s="158" t="s">
        <v>0</v>
      </c>
      <c r="C15" s="158"/>
      <c r="D15" s="158"/>
      <c r="E15" s="158"/>
      <c r="F15" s="158"/>
      <c r="G15" s="158"/>
      <c r="H15" s="158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</row>
    <row r="16" spans="2:23" ht="27.75" customHeight="1" thickBot="1" x14ac:dyDescent="0.35">
      <c r="B16" s="152" t="s">
        <v>116</v>
      </c>
      <c r="C16" s="152"/>
      <c r="D16" s="152"/>
      <c r="E16" s="152"/>
      <c r="F16" s="152"/>
      <c r="G16" s="152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2:24" ht="27" customHeight="1" thickBot="1" x14ac:dyDescent="0.25">
      <c r="B17" s="34" t="s">
        <v>0</v>
      </c>
      <c r="C17" s="16"/>
      <c r="D17" s="153" t="s">
        <v>1</v>
      </c>
      <c r="E17" s="154"/>
      <c r="F17" s="155"/>
      <c r="G17" s="16"/>
      <c r="H17" s="35">
        <v>2024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 spans="2:24" ht="27.75" thickBot="1" x14ac:dyDescent="0.25">
      <c r="B18" s="105" t="s">
        <v>2</v>
      </c>
      <c r="C18" s="106" t="s">
        <v>99</v>
      </c>
      <c r="D18" s="107" t="s">
        <v>3</v>
      </c>
      <c r="E18" s="107" t="s">
        <v>4</v>
      </c>
      <c r="F18" s="108" t="s">
        <v>100</v>
      </c>
      <c r="G18" s="110" t="s">
        <v>5</v>
      </c>
      <c r="H18" s="111" t="s">
        <v>6</v>
      </c>
      <c r="I18" s="110" t="s">
        <v>119</v>
      </c>
      <c r="J18" s="110" t="s">
        <v>126</v>
      </c>
      <c r="K18" s="110" t="s">
        <v>127</v>
      </c>
      <c r="L18" s="109" t="s">
        <v>130</v>
      </c>
      <c r="M18" s="112" t="s">
        <v>153</v>
      </c>
      <c r="N18" s="110" t="s">
        <v>129</v>
      </c>
      <c r="O18" s="111" t="s">
        <v>133</v>
      </c>
      <c r="P18" s="110" t="s">
        <v>135</v>
      </c>
      <c r="Q18" s="109" t="s">
        <v>141</v>
      </c>
      <c r="R18" s="112" t="s">
        <v>136</v>
      </c>
      <c r="S18" s="110" t="s">
        <v>137</v>
      </c>
      <c r="T18" s="110" t="s">
        <v>138</v>
      </c>
      <c r="U18" s="110" t="s">
        <v>139</v>
      </c>
      <c r="V18" s="114" t="s">
        <v>158</v>
      </c>
      <c r="W18" s="110" t="s">
        <v>71</v>
      </c>
      <c r="X18" s="113" t="s">
        <v>117</v>
      </c>
    </row>
    <row r="19" spans="2:24" ht="12.75" x14ac:dyDescent="0.2">
      <c r="B19" s="56" t="s">
        <v>7</v>
      </c>
      <c r="C19" s="57">
        <v>0</v>
      </c>
      <c r="D19" s="27"/>
      <c r="E19" s="27"/>
      <c r="F19" s="27"/>
      <c r="G19" s="130">
        <f>+C19+D19-E19+F19</f>
        <v>0</v>
      </c>
      <c r="H19" s="130"/>
      <c r="I19" s="131"/>
      <c r="J19" s="27"/>
      <c r="K19" s="27"/>
      <c r="L19" s="130">
        <f>+H19+I19+J19+K19</f>
        <v>0</v>
      </c>
      <c r="M19" s="130"/>
      <c r="N19" s="27"/>
      <c r="O19" s="27"/>
      <c r="P19" s="130"/>
      <c r="Q19" s="130">
        <f>+L19+M19+N19+O19+P19</f>
        <v>0</v>
      </c>
      <c r="R19" s="130"/>
      <c r="S19" s="27"/>
      <c r="T19" s="27"/>
      <c r="U19" s="28"/>
      <c r="V19" s="129"/>
      <c r="W19" s="103">
        <f>+Q19+R19+S19+T19+U19</f>
        <v>0</v>
      </c>
      <c r="X19" s="104">
        <f t="shared" ref="X19:X32" si="0">+G19-W19</f>
        <v>0</v>
      </c>
    </row>
    <row r="20" spans="2:24" ht="12.75" x14ac:dyDescent="0.2">
      <c r="B20" s="55" t="s">
        <v>8</v>
      </c>
      <c r="C20" s="21">
        <v>450000</v>
      </c>
      <c r="D20" s="21"/>
      <c r="E20" s="21"/>
      <c r="F20" s="21"/>
      <c r="G20" s="37">
        <f t="shared" ref="G20:G32" si="1">+C20+D20-E20+F20</f>
        <v>450000</v>
      </c>
      <c r="H20" s="37">
        <v>34898.01</v>
      </c>
      <c r="I20" s="93">
        <f>+H20</f>
        <v>34898.01</v>
      </c>
      <c r="J20" s="6">
        <v>38020.400000000001</v>
      </c>
      <c r="K20" s="6">
        <v>38020.400000000001</v>
      </c>
      <c r="L20" s="37">
        <f>+H20+I20+J20+K20</f>
        <v>145836.82</v>
      </c>
      <c r="M20" s="37">
        <v>38020.400000000001</v>
      </c>
      <c r="N20" s="6">
        <v>38020.400000000001</v>
      </c>
      <c r="O20" s="6">
        <v>38020.400000000001</v>
      </c>
      <c r="P20" s="37">
        <v>38020.400000000001</v>
      </c>
      <c r="Q20" s="37">
        <f>+M20+N20+O20+P20</f>
        <v>152081.60000000001</v>
      </c>
      <c r="R20" s="37">
        <v>38020.400000000001</v>
      </c>
      <c r="S20" s="6">
        <v>38020.400000000001</v>
      </c>
      <c r="T20" s="6">
        <f>+'[1]Forma 200-A-3 Ingresos (1)'!G30</f>
        <v>38020.400000000001</v>
      </c>
      <c r="U20" s="29">
        <v>38020.400000000001</v>
      </c>
      <c r="V20" s="70">
        <f>+R20+S20+T20+U20</f>
        <v>152081.60000000001</v>
      </c>
      <c r="W20" s="37">
        <f>+L20+Q20+V20</f>
        <v>450000.02</v>
      </c>
      <c r="X20" s="54">
        <f t="shared" si="0"/>
        <v>-2.0000000018626451E-2</v>
      </c>
    </row>
    <row r="21" spans="2:24" ht="12.75" x14ac:dyDescent="0.2">
      <c r="B21" s="55" t="s">
        <v>124</v>
      </c>
      <c r="C21" s="21">
        <v>8500</v>
      </c>
      <c r="D21" s="21"/>
      <c r="E21" s="21"/>
      <c r="F21" s="21"/>
      <c r="G21" s="37">
        <f t="shared" si="1"/>
        <v>8500</v>
      </c>
      <c r="H21" s="37"/>
      <c r="I21" s="93"/>
      <c r="J21" s="6"/>
      <c r="K21" s="6"/>
      <c r="L21" s="37">
        <f t="shared" ref="L21:L32" si="2">+H21+I21+J21+K21</f>
        <v>0</v>
      </c>
      <c r="M21" s="37"/>
      <c r="N21" s="6"/>
      <c r="O21" s="6"/>
      <c r="P21" s="37"/>
      <c r="Q21" s="37">
        <f t="shared" ref="Q21:Q32" si="3">+M21+N21+O21+P21</f>
        <v>0</v>
      </c>
      <c r="R21" s="37"/>
      <c r="S21" s="6"/>
      <c r="T21" s="6"/>
      <c r="U21" s="29"/>
      <c r="V21" s="70">
        <f t="shared" ref="V21:V32" si="4">+R21+S21+T21+U21</f>
        <v>0</v>
      </c>
      <c r="W21" s="37">
        <f t="shared" ref="W21:W32" si="5">+L21+Q21+V21</f>
        <v>0</v>
      </c>
      <c r="X21" s="54">
        <f t="shared" si="0"/>
        <v>8500</v>
      </c>
    </row>
    <row r="22" spans="2:24" ht="25.5" x14ac:dyDescent="0.2">
      <c r="B22" s="55" t="s">
        <v>112</v>
      </c>
      <c r="C22" s="21">
        <v>130000</v>
      </c>
      <c r="D22" s="21"/>
      <c r="E22" s="21"/>
      <c r="F22" s="21"/>
      <c r="G22" s="37">
        <f t="shared" si="1"/>
        <v>130000</v>
      </c>
      <c r="H22" s="37"/>
      <c r="I22" s="93"/>
      <c r="J22" s="6"/>
      <c r="K22" s="6"/>
      <c r="L22" s="37">
        <f t="shared" si="2"/>
        <v>0</v>
      </c>
      <c r="M22" s="37"/>
      <c r="N22" s="6"/>
      <c r="O22" s="6"/>
      <c r="P22" s="37"/>
      <c r="Q22" s="37">
        <f t="shared" si="3"/>
        <v>0</v>
      </c>
      <c r="R22" s="37"/>
      <c r="S22" s="6"/>
      <c r="T22" s="6"/>
      <c r="U22" s="29">
        <f>79910+7651.88</f>
        <v>87561.88</v>
      </c>
      <c r="V22" s="70">
        <f t="shared" si="4"/>
        <v>87561.88</v>
      </c>
      <c r="W22" s="37">
        <f t="shared" si="5"/>
        <v>87561.88</v>
      </c>
      <c r="X22" s="54">
        <f t="shared" si="0"/>
        <v>42438.119999999995</v>
      </c>
    </row>
    <row r="23" spans="2:24" ht="25.5" x14ac:dyDescent="0.2">
      <c r="B23" s="55" t="s">
        <v>157</v>
      </c>
      <c r="C23" s="21"/>
      <c r="D23" s="6"/>
      <c r="E23" s="6"/>
      <c r="F23" s="6">
        <v>202127.76</v>
      </c>
      <c r="G23" s="37">
        <f>+C23+D23-E23+F23</f>
        <v>202127.76</v>
      </c>
      <c r="H23" s="37"/>
      <c r="I23" s="93"/>
      <c r="J23" s="6"/>
      <c r="K23" s="6"/>
      <c r="L23" s="37">
        <f t="shared" si="2"/>
        <v>0</v>
      </c>
      <c r="M23" s="37"/>
      <c r="N23" s="6"/>
      <c r="O23" s="6"/>
      <c r="P23" s="37">
        <v>202127.76</v>
      </c>
      <c r="Q23" s="37">
        <f t="shared" si="3"/>
        <v>202127.76</v>
      </c>
      <c r="R23" s="37"/>
      <c r="S23" s="6">
        <v>6750.25</v>
      </c>
      <c r="T23" s="6">
        <f>+'[1]Forma 200-A-3 Ingresos (1)'!G55</f>
        <v>26400</v>
      </c>
      <c r="U23" s="29">
        <v>10400</v>
      </c>
      <c r="V23" s="70">
        <f>+R23+S23+T23+U23</f>
        <v>43550.25</v>
      </c>
      <c r="W23" s="37">
        <f t="shared" si="5"/>
        <v>245678.01</v>
      </c>
      <c r="X23" s="54">
        <f t="shared" si="0"/>
        <v>-43550.25</v>
      </c>
    </row>
    <row r="24" spans="2:24" ht="25.5" x14ac:dyDescent="0.2">
      <c r="B24" s="55" t="s">
        <v>9</v>
      </c>
      <c r="C24" s="6">
        <v>0</v>
      </c>
      <c r="D24" s="6"/>
      <c r="E24" s="6"/>
      <c r="F24" s="6">
        <f>10080+162240</f>
        <v>172320</v>
      </c>
      <c r="G24" s="37">
        <f t="shared" si="1"/>
        <v>172320</v>
      </c>
      <c r="H24" s="37"/>
      <c r="I24" s="93"/>
      <c r="J24" s="6">
        <v>10080</v>
      </c>
      <c r="K24" s="6"/>
      <c r="L24" s="37">
        <f t="shared" si="2"/>
        <v>10080</v>
      </c>
      <c r="M24" s="37"/>
      <c r="N24" s="6"/>
      <c r="O24" s="6">
        <v>162240</v>
      </c>
      <c r="P24" s="37"/>
      <c r="Q24" s="37">
        <f t="shared" si="3"/>
        <v>162240</v>
      </c>
      <c r="R24" s="37"/>
      <c r="S24" s="6"/>
      <c r="T24" s="6"/>
      <c r="U24" s="29"/>
      <c r="V24" s="70">
        <f t="shared" si="4"/>
        <v>0</v>
      </c>
      <c r="W24" s="37">
        <f t="shared" si="5"/>
        <v>172320</v>
      </c>
      <c r="X24" s="54">
        <f t="shared" si="0"/>
        <v>0</v>
      </c>
    </row>
    <row r="25" spans="2:24" ht="25.5" x14ac:dyDescent="0.2">
      <c r="B25" s="55" t="s">
        <v>125</v>
      </c>
      <c r="C25" s="6">
        <v>0</v>
      </c>
      <c r="D25" s="6"/>
      <c r="E25" s="6"/>
      <c r="F25" s="6"/>
      <c r="G25" s="37">
        <f t="shared" si="1"/>
        <v>0</v>
      </c>
      <c r="H25" s="37"/>
      <c r="I25" s="93"/>
      <c r="J25" s="6"/>
      <c r="K25" s="6"/>
      <c r="L25" s="37">
        <f t="shared" si="2"/>
        <v>0</v>
      </c>
      <c r="M25" s="37"/>
      <c r="N25" s="6"/>
      <c r="O25" s="6"/>
      <c r="P25" s="37"/>
      <c r="Q25" s="37">
        <f t="shared" si="3"/>
        <v>0</v>
      </c>
      <c r="R25" s="37"/>
      <c r="S25" s="6"/>
      <c r="T25" s="6"/>
      <c r="U25" s="29"/>
      <c r="V25" s="70">
        <f t="shared" si="4"/>
        <v>0</v>
      </c>
      <c r="W25" s="37">
        <f t="shared" si="5"/>
        <v>0</v>
      </c>
      <c r="X25" s="54">
        <f t="shared" si="0"/>
        <v>0</v>
      </c>
    </row>
    <row r="26" spans="2:24" ht="25.5" x14ac:dyDescent="0.2">
      <c r="B26" s="55" t="s">
        <v>151</v>
      </c>
      <c r="C26" s="6">
        <v>0</v>
      </c>
      <c r="D26" s="21"/>
      <c r="E26" s="21"/>
      <c r="F26" s="21"/>
      <c r="G26" s="37">
        <f t="shared" si="1"/>
        <v>0</v>
      </c>
      <c r="H26" s="37"/>
      <c r="I26" s="93"/>
      <c r="J26" s="6"/>
      <c r="K26" s="6"/>
      <c r="L26" s="37">
        <f t="shared" si="2"/>
        <v>0</v>
      </c>
      <c r="M26" s="37"/>
      <c r="N26" s="6"/>
      <c r="O26" s="6">
        <v>1379.2</v>
      </c>
      <c r="P26" s="37"/>
      <c r="Q26" s="37">
        <f t="shared" si="3"/>
        <v>1379.2</v>
      </c>
      <c r="R26" s="37"/>
      <c r="S26" s="6"/>
      <c r="T26" s="6"/>
      <c r="U26" s="29">
        <f>900+285+2100+2300+1215</f>
        <v>6800</v>
      </c>
      <c r="V26" s="70">
        <f t="shared" si="4"/>
        <v>6800</v>
      </c>
      <c r="W26" s="37">
        <f t="shared" si="5"/>
        <v>8179.2</v>
      </c>
      <c r="X26" s="54">
        <f t="shared" si="0"/>
        <v>-8179.2</v>
      </c>
    </row>
    <row r="27" spans="2:24" ht="25.5" x14ac:dyDescent="0.2">
      <c r="B27" s="55" t="s">
        <v>152</v>
      </c>
      <c r="C27" s="21">
        <v>0</v>
      </c>
      <c r="D27" s="21"/>
      <c r="E27" s="21"/>
      <c r="F27" s="21">
        <v>340380</v>
      </c>
      <c r="G27" s="37">
        <f t="shared" si="1"/>
        <v>340380</v>
      </c>
      <c r="H27" s="37">
        <v>1500</v>
      </c>
      <c r="I27" s="93">
        <f>50855+88055</f>
        <v>138910</v>
      </c>
      <c r="J27" s="6">
        <f>24245+2250+300+450+2850+750+250+900</f>
        <v>31995</v>
      </c>
      <c r="K27" s="6">
        <v>88500</v>
      </c>
      <c r="L27" s="37">
        <f t="shared" si="2"/>
        <v>260905</v>
      </c>
      <c r="M27" s="37">
        <f>600+3150+245</f>
        <v>3995</v>
      </c>
      <c r="N27" s="6">
        <f>3000+120+10080</f>
        <v>13200</v>
      </c>
      <c r="O27" s="6">
        <f>3000+450+1950</f>
        <v>5400</v>
      </c>
      <c r="P27" s="37"/>
      <c r="Q27" s="37">
        <f t="shared" si="3"/>
        <v>22595</v>
      </c>
      <c r="R27" s="37">
        <f>+'[2]Forma 200-A-3 Ingresos (1)'!G21+'[2]Forma 200-A-3 Ingresos (1)'!G22+'[2]Forma 200-A-3 Ingresos (1)'!G23+'[2]Forma 200-A-3 Ingresos (1)'!G24+'[2]Forma 200-A-3 Ingresos (1)'!G25+'[2]Forma 200-A-3 Ingresos (1)'!G26+'[2]Forma 200-A-3 Ingresos (1)'!G27+'[2]Forma 200-A-3 Ingresos (1)'!G28+'[2]Forma 200-A-3 Ingresos (1)'!G29+'[2]Forma 200-A-3 Ingresos (1)'!G30+'[2]Forma 200-A-3 Ingresos (1)'!G31+'[2]Forma 200-A-3 Ingresos (1)'!G32+'[2]Forma 200-A-3 Ingresos (1)'!G33+'[2]Forma 200-A-3 Ingresos (1)'!G34+'[2]Forma 200-A-3 Ingresos (1)'!G35+'[2]Forma 200-A-3 Ingresos (1)'!G36+'[2]Forma 200-A-3 Ingresos (1)'!G37+'[2]Forma 200-A-3 Ingresos (1)'!G38+'[2]Forma 200-A-3 Ingresos (1)'!G39+'[2]Forma 200-A-3 Ingresos (1)'!G40+'[2]Forma 200-A-3 Ingresos (1)'!G41+'[2]Forma 200-A-3 Ingresos (1)'!G42+'[2]Forma 200-A-3 Ingresos (1)'!G43+'[2]Forma 200-A-3 Ingresos (1)'!G44</f>
        <v>56880</v>
      </c>
      <c r="S27" s="6"/>
      <c r="T27" s="6">
        <v>74812</v>
      </c>
      <c r="U27" s="29">
        <v>4982</v>
      </c>
      <c r="V27" s="70">
        <f t="shared" si="4"/>
        <v>136674</v>
      </c>
      <c r="W27" s="37">
        <f t="shared" si="5"/>
        <v>420174</v>
      </c>
      <c r="X27" s="54">
        <f t="shared" si="0"/>
        <v>-79794</v>
      </c>
    </row>
    <row r="28" spans="2:24" ht="12.75" x14ac:dyDescent="0.2">
      <c r="B28" s="55" t="s">
        <v>10</v>
      </c>
      <c r="C28" s="21">
        <v>0</v>
      </c>
      <c r="D28" s="23"/>
      <c r="E28" s="23"/>
      <c r="F28" s="23"/>
      <c r="G28" s="37">
        <f t="shared" si="1"/>
        <v>0</v>
      </c>
      <c r="H28" s="37"/>
      <c r="I28" s="93">
        <v>42.08</v>
      </c>
      <c r="J28" s="6"/>
      <c r="K28" s="6"/>
      <c r="L28" s="37">
        <f t="shared" si="2"/>
        <v>42.08</v>
      </c>
      <c r="M28" s="37"/>
      <c r="N28" s="6"/>
      <c r="O28" s="6">
        <v>275.33999999999997</v>
      </c>
      <c r="P28" s="37">
        <v>418.75</v>
      </c>
      <c r="Q28" s="37">
        <f t="shared" si="3"/>
        <v>694.08999999999992</v>
      </c>
      <c r="R28" s="37">
        <f>+'[2]Forma 200-A-3 Ingresos (1)'!G46</f>
        <v>444.15</v>
      </c>
      <c r="S28" s="6"/>
      <c r="T28" s="6">
        <v>112.33</v>
      </c>
      <c r="U28" s="29">
        <v>146.5</v>
      </c>
      <c r="V28" s="70">
        <f t="shared" si="4"/>
        <v>702.98</v>
      </c>
      <c r="W28" s="37">
        <f t="shared" si="5"/>
        <v>1439.15</v>
      </c>
      <c r="X28" s="54">
        <f t="shared" si="0"/>
        <v>-1439.15</v>
      </c>
    </row>
    <row r="29" spans="2:24" ht="25.5" x14ac:dyDescent="0.2">
      <c r="B29" s="55" t="s">
        <v>101</v>
      </c>
      <c r="C29" s="6">
        <v>0</v>
      </c>
      <c r="D29" s="6"/>
      <c r="E29" s="6"/>
      <c r="F29" s="6"/>
      <c r="G29" s="37">
        <f t="shared" si="1"/>
        <v>0</v>
      </c>
      <c r="H29" s="37">
        <v>164.22</v>
      </c>
      <c r="I29" s="93">
        <v>164.22</v>
      </c>
      <c r="J29" s="6">
        <f>4000*0.0483</f>
        <v>193.20000000000002</v>
      </c>
      <c r="K29" s="6">
        <v>193.2</v>
      </c>
      <c r="L29" s="37">
        <f t="shared" si="2"/>
        <v>714.83999999999992</v>
      </c>
      <c r="M29" s="37">
        <v>193.2</v>
      </c>
      <c r="N29" s="6">
        <v>193.2</v>
      </c>
      <c r="O29" s="6">
        <v>193.2</v>
      </c>
      <c r="P29" s="37">
        <v>193.2</v>
      </c>
      <c r="Q29" s="37">
        <f t="shared" si="3"/>
        <v>772.8</v>
      </c>
      <c r="R29" s="37">
        <v>193.2</v>
      </c>
      <c r="S29" s="6">
        <v>193.2</v>
      </c>
      <c r="T29" s="6">
        <v>193.2</v>
      </c>
      <c r="U29" s="29">
        <v>193.2</v>
      </c>
      <c r="V29" s="70">
        <f t="shared" si="4"/>
        <v>772.8</v>
      </c>
      <c r="W29" s="37">
        <f t="shared" si="5"/>
        <v>2260.4399999999996</v>
      </c>
      <c r="X29" s="54">
        <f t="shared" si="0"/>
        <v>-2260.4399999999996</v>
      </c>
    </row>
    <row r="30" spans="2:24" ht="25.5" x14ac:dyDescent="0.2">
      <c r="B30" s="55" t="s">
        <v>11</v>
      </c>
      <c r="C30" s="6">
        <v>0</v>
      </c>
      <c r="D30" s="6"/>
      <c r="E30" s="6"/>
      <c r="F30" s="6"/>
      <c r="G30" s="37">
        <f t="shared" si="1"/>
        <v>0</v>
      </c>
      <c r="H30" s="37">
        <v>5345.18</v>
      </c>
      <c r="I30" s="93"/>
      <c r="J30" s="6"/>
      <c r="K30" s="6"/>
      <c r="L30" s="37">
        <f t="shared" si="2"/>
        <v>5345.18</v>
      </c>
      <c r="M30" s="37">
        <v>6073.8</v>
      </c>
      <c r="N30" s="6">
        <v>861.34</v>
      </c>
      <c r="O30" s="6"/>
      <c r="P30" s="37"/>
      <c r="Q30" s="37">
        <f t="shared" si="3"/>
        <v>6935.14</v>
      </c>
      <c r="R30" s="37"/>
      <c r="S30" s="6"/>
      <c r="T30" s="6"/>
      <c r="U30" s="29"/>
      <c r="V30" s="70">
        <f t="shared" si="4"/>
        <v>0</v>
      </c>
      <c r="W30" s="37">
        <f t="shared" si="5"/>
        <v>12280.32</v>
      </c>
      <c r="X30" s="54">
        <f t="shared" si="0"/>
        <v>-12280.32</v>
      </c>
    </row>
    <row r="31" spans="2:24" ht="12.75" x14ac:dyDescent="0.2">
      <c r="B31" s="55" t="s">
        <v>113</v>
      </c>
      <c r="C31" s="6">
        <v>0</v>
      </c>
      <c r="D31" s="6"/>
      <c r="E31" s="6"/>
      <c r="F31" s="6"/>
      <c r="G31" s="37">
        <f t="shared" si="1"/>
        <v>0</v>
      </c>
      <c r="H31" s="37"/>
      <c r="I31" s="93"/>
      <c r="J31" s="6"/>
      <c r="K31" s="6"/>
      <c r="L31" s="37">
        <f t="shared" si="2"/>
        <v>0</v>
      </c>
      <c r="M31" s="37"/>
      <c r="N31" s="6"/>
      <c r="O31" s="6"/>
      <c r="P31" s="37">
        <f>-3094.93</f>
        <v>-3094.93</v>
      </c>
      <c r="Q31" s="37">
        <f t="shared" si="3"/>
        <v>-3094.93</v>
      </c>
      <c r="R31" s="37"/>
      <c r="S31" s="6"/>
      <c r="T31" s="6"/>
      <c r="U31" s="29"/>
      <c r="V31" s="70">
        <f t="shared" si="4"/>
        <v>0</v>
      </c>
      <c r="W31" s="37">
        <f t="shared" si="5"/>
        <v>-3094.93</v>
      </c>
      <c r="X31" s="54">
        <f t="shared" si="0"/>
        <v>3094.93</v>
      </c>
    </row>
    <row r="32" spans="2:24" ht="13.5" thickBot="1" x14ac:dyDescent="0.25">
      <c r="B32" s="75" t="s">
        <v>102</v>
      </c>
      <c r="C32" s="30">
        <v>0</v>
      </c>
      <c r="D32" s="30"/>
      <c r="E32" s="30"/>
      <c r="F32" s="30"/>
      <c r="G32" s="58">
        <f t="shared" si="1"/>
        <v>0</v>
      </c>
      <c r="H32" s="58">
        <v>605.70000000000005</v>
      </c>
      <c r="I32" s="135">
        <v>2071.37</v>
      </c>
      <c r="J32" s="30">
        <f>+'[3]Forma 200-A-3 Ingresos (4)'!H38+'[3]Forma 200-A-3 Ingresos (4)'!H40+'[3]Forma 200-A-3 Ingresos (4)'!H36</f>
        <v>836.56</v>
      </c>
      <c r="K32" s="30">
        <v>1539.1</v>
      </c>
      <c r="L32" s="58">
        <f t="shared" si="2"/>
        <v>5052.7299999999996</v>
      </c>
      <c r="M32" s="58">
        <v>836.56</v>
      </c>
      <c r="N32" s="30">
        <f>1081.8+53.76</f>
        <v>1135.56</v>
      </c>
      <c r="O32" s="136">
        <f>1029.76-13.8</f>
        <v>1015.96</v>
      </c>
      <c r="P32" s="58">
        <v>836.56</v>
      </c>
      <c r="Q32" s="58">
        <f t="shared" si="3"/>
        <v>3824.64</v>
      </c>
      <c r="R32" s="58">
        <f>+'[2]Forma 200-A-3 Ingresos (1)'!H53+'[2]Forma 200-A-3 Ingresos (1)'!H55+'[2]Forma 200-A-3 Ingresos (1)'!H56+'[2]Forma 200-A-3 Ingresos (1)'!H57</f>
        <v>1135.56</v>
      </c>
      <c r="S32" s="30">
        <v>1204.7</v>
      </c>
      <c r="T32" s="30">
        <f>+'[1]Forma 200-A-3 Ingresos (1)'!H64+'[1]Forma 200-A-3 Ingresos (1)'!H65+'[1]Forma 200-A-3 Ingresos (1)'!H66+'[1]Forma 200-A-3 Ingresos (1)'!H62</f>
        <v>1539.106</v>
      </c>
      <c r="U32" s="31">
        <f>+'[4]Forma 200-A-3 Ingresos (1)'!H34+'[4]Forma 200-A-3 Ingresos (1)'!H36+'[4]Forma 200-A-3 Ingresos (1)'!H38</f>
        <v>836.56</v>
      </c>
      <c r="V32" s="70">
        <f t="shared" si="4"/>
        <v>4715.9259999999995</v>
      </c>
      <c r="W32" s="37">
        <f t="shared" si="5"/>
        <v>13593.295999999998</v>
      </c>
      <c r="X32" s="54">
        <f t="shared" si="0"/>
        <v>-13593.295999999998</v>
      </c>
    </row>
    <row r="33" spans="2:24" ht="13.5" thickBot="1" x14ac:dyDescent="0.25">
      <c r="B33" s="132" t="s">
        <v>12</v>
      </c>
      <c r="C33" s="133">
        <f>SUM(C19:C32)</f>
        <v>588500</v>
      </c>
      <c r="D33" s="134">
        <f t="shared" ref="D33:G33" si="6">SUM(D19:D31)</f>
        <v>0</v>
      </c>
      <c r="E33" s="134">
        <f t="shared" si="6"/>
        <v>0</v>
      </c>
      <c r="F33" s="134">
        <f t="shared" si="6"/>
        <v>714827.76</v>
      </c>
      <c r="G33" s="137">
        <f t="shared" si="6"/>
        <v>1303327.76</v>
      </c>
      <c r="H33" s="137">
        <f>SUM(H19:H32)</f>
        <v>42513.11</v>
      </c>
      <c r="I33" s="137">
        <f>SUM(I19:I32)</f>
        <v>176085.68</v>
      </c>
      <c r="J33" s="137">
        <f t="shared" ref="J33:K33" si="7">SUM(J19:J32)</f>
        <v>81125.159999999989</v>
      </c>
      <c r="K33" s="137">
        <f t="shared" si="7"/>
        <v>128252.7</v>
      </c>
      <c r="L33" s="137">
        <f>SUM(L19:L32)</f>
        <v>427976.65</v>
      </c>
      <c r="M33" s="137">
        <f>SUM(M19:M32)</f>
        <v>49118.96</v>
      </c>
      <c r="N33" s="137">
        <f t="shared" ref="N33:O33" si="8">SUM(N19:N32)</f>
        <v>53410.499999999993</v>
      </c>
      <c r="O33" s="137">
        <f t="shared" si="8"/>
        <v>208524.1</v>
      </c>
      <c r="P33" s="137">
        <f>SUM(P19:P32)</f>
        <v>238501.74000000002</v>
      </c>
      <c r="Q33" s="137">
        <f>SUM(Q19:Q32)</f>
        <v>549555.30000000005</v>
      </c>
      <c r="R33" s="137">
        <f>SUM(R20:R32)</f>
        <v>96673.309999999983</v>
      </c>
      <c r="S33" s="137">
        <f t="shared" ref="S33" si="9">SUM(S19:S32)</f>
        <v>46168.549999999996</v>
      </c>
      <c r="T33" s="137">
        <f t="shared" ref="T33" si="10">SUM(T19:T32)</f>
        <v>141077.03599999999</v>
      </c>
      <c r="U33" s="138">
        <f t="shared" ref="U33" si="11">SUM(U19:U32)</f>
        <v>148940.54</v>
      </c>
      <c r="V33" s="71">
        <f t="shared" ref="V33" si="12">SUM(V20:V32)</f>
        <v>432859.43599999993</v>
      </c>
      <c r="W33" s="58">
        <f>SUM(W19:W32)</f>
        <v>1410391.3859999999</v>
      </c>
      <c r="X33" s="60">
        <f>SUM(X19:X32)</f>
        <v>-107063.62600000002</v>
      </c>
    </row>
    <row r="34" spans="2:24" ht="12.75" x14ac:dyDescent="0.2">
      <c r="B34" s="3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2:24" ht="12.75" x14ac:dyDescent="0.2">
      <c r="B35" s="3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2:24" x14ac:dyDescent="0.2">
      <c r="B36" s="157"/>
      <c r="C36" s="157"/>
      <c r="D36" s="157"/>
      <c r="E36" s="157"/>
      <c r="F36" s="157"/>
      <c r="G36" s="157"/>
      <c r="H36" s="157"/>
      <c r="I36" s="20"/>
      <c r="J36" s="20"/>
      <c r="K36" s="20"/>
      <c r="L36" s="20"/>
      <c r="M36" s="95"/>
      <c r="N36" s="20"/>
      <c r="O36" s="20"/>
      <c r="P36" s="20"/>
      <c r="Q36" s="20"/>
      <c r="R36" s="20"/>
      <c r="S36" s="20"/>
      <c r="T36" s="20"/>
      <c r="U36" s="20"/>
      <c r="V36" s="20"/>
    </row>
    <row r="37" spans="2:24" x14ac:dyDescent="0.2">
      <c r="B37" s="157"/>
      <c r="C37" s="157"/>
      <c r="D37" s="157"/>
      <c r="E37" s="157"/>
      <c r="F37" s="157"/>
      <c r="G37" s="157"/>
      <c r="H37" s="157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2:24" x14ac:dyDescent="0.2">
      <c r="B38" s="157"/>
      <c r="C38" s="157"/>
      <c r="D38" s="157"/>
      <c r="E38" s="157"/>
      <c r="F38" s="157"/>
      <c r="G38" s="157"/>
      <c r="H38" s="157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2:24" x14ac:dyDescent="0.2">
      <c r="B39" s="157"/>
      <c r="C39" s="157"/>
      <c r="D39" s="157"/>
      <c r="E39" s="157"/>
      <c r="F39" s="157"/>
      <c r="G39" s="157"/>
      <c r="H39" s="157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2:24" x14ac:dyDescent="0.2">
      <c r="B40" s="157"/>
      <c r="C40" s="157"/>
      <c r="D40" s="157"/>
      <c r="E40" s="157"/>
      <c r="F40" s="157"/>
      <c r="G40" s="157"/>
      <c r="H40" s="157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2:24" x14ac:dyDescent="0.2">
      <c r="B41" s="157"/>
      <c r="C41" s="157"/>
      <c r="D41" s="157"/>
      <c r="E41" s="157"/>
      <c r="F41" s="157"/>
      <c r="G41" s="157"/>
      <c r="H41" s="157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2:24" x14ac:dyDescent="0.2">
      <c r="B42" s="157"/>
      <c r="C42" s="157"/>
      <c r="D42" s="157"/>
      <c r="E42" s="157"/>
      <c r="F42" s="157"/>
      <c r="G42" s="157"/>
      <c r="H42" s="157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2:24" x14ac:dyDescent="0.2">
      <c r="B43" s="157"/>
      <c r="C43" s="157"/>
      <c r="D43" s="157"/>
      <c r="E43" s="157"/>
      <c r="F43" s="157"/>
      <c r="G43" s="157"/>
      <c r="H43" s="157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2:24" x14ac:dyDescent="0.2">
      <c r="B44" s="157" t="s">
        <v>120</v>
      </c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</row>
    <row r="45" spans="2:24" x14ac:dyDescent="0.2">
      <c r="B45" s="157" t="s">
        <v>121</v>
      </c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</row>
    <row r="46" spans="2:24" x14ac:dyDescent="0.2">
      <c r="B46" s="157" t="str">
        <f>+B9</f>
        <v>(502) 2223-9500 EXT 252</v>
      </c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</row>
    <row r="47" spans="2:24" x14ac:dyDescent="0.2">
      <c r="B47" s="157" t="str">
        <f>+B10</f>
        <v>ENCARGADO ACCESO A LA INFORMACION PUBLICA : NOE ALEXANDER LOPEZ BARRIENTOS</v>
      </c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</row>
    <row r="48" spans="2:24" x14ac:dyDescent="0.2">
      <c r="B48" s="157" t="s">
        <v>132</v>
      </c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</row>
    <row r="49" spans="1:24" x14ac:dyDescent="0.2">
      <c r="B49" s="157" t="str">
        <f>+B12</f>
        <v>FECHA ACTUALIZADA: DICIEMBRE 2024.</v>
      </c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</row>
    <row r="50" spans="1:24" x14ac:dyDescent="0.2">
      <c r="B50" s="157" t="s">
        <v>143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</row>
    <row r="51" spans="1:24" ht="12.75" thickBot="1" x14ac:dyDescent="0.25">
      <c r="A51" s="39"/>
      <c r="B51" s="156"/>
      <c r="C51" s="156"/>
      <c r="D51" s="156"/>
      <c r="E51" s="156"/>
      <c r="F51" s="156"/>
      <c r="G51" s="156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3.5" thickBot="1" x14ac:dyDescent="0.25">
      <c r="A52" s="40"/>
      <c r="B52" s="34"/>
      <c r="C52" s="16"/>
      <c r="D52" s="149" t="s">
        <v>1</v>
      </c>
      <c r="E52" s="150"/>
      <c r="F52" s="151"/>
      <c r="G52" s="16"/>
      <c r="H52" s="35">
        <v>2024</v>
      </c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41"/>
    </row>
    <row r="53" spans="1:24" ht="27" customHeight="1" thickBot="1" x14ac:dyDescent="0.25">
      <c r="A53" s="42"/>
      <c r="B53" s="46" t="s">
        <v>2</v>
      </c>
      <c r="C53" s="47" t="s">
        <v>99</v>
      </c>
      <c r="D53" s="43" t="s">
        <v>3</v>
      </c>
      <c r="E53" s="44" t="s">
        <v>4</v>
      </c>
      <c r="F53" s="48" t="s">
        <v>100</v>
      </c>
      <c r="G53" s="49" t="s">
        <v>5</v>
      </c>
      <c r="H53" s="49" t="s">
        <v>6</v>
      </c>
      <c r="I53" s="62" t="s">
        <v>119</v>
      </c>
      <c r="J53" s="49" t="s">
        <v>126</v>
      </c>
      <c r="K53" s="44" t="s">
        <v>127</v>
      </c>
      <c r="L53" s="36" t="s">
        <v>130</v>
      </c>
      <c r="M53" s="50" t="s">
        <v>128</v>
      </c>
      <c r="N53" s="63" t="s">
        <v>129</v>
      </c>
      <c r="O53" s="63" t="s">
        <v>133</v>
      </c>
      <c r="P53" s="44" t="s">
        <v>135</v>
      </c>
      <c r="Q53" s="36" t="s">
        <v>141</v>
      </c>
      <c r="R53" s="44" t="s">
        <v>136</v>
      </c>
      <c r="S53" s="44" t="s">
        <v>137</v>
      </c>
      <c r="T53" s="44" t="s">
        <v>140</v>
      </c>
      <c r="U53" s="44" t="s">
        <v>139</v>
      </c>
      <c r="V53" s="101" t="s">
        <v>158</v>
      </c>
      <c r="W53" s="50" t="s">
        <v>71</v>
      </c>
      <c r="X53" s="51" t="s">
        <v>117</v>
      </c>
    </row>
    <row r="54" spans="1:24" x14ac:dyDescent="0.2">
      <c r="A54" s="76">
        <v>0</v>
      </c>
      <c r="B54" s="77" t="s">
        <v>14</v>
      </c>
      <c r="C54" s="67"/>
      <c r="D54" s="67"/>
      <c r="E54" s="67"/>
      <c r="F54" s="67"/>
      <c r="G54" s="52"/>
      <c r="H54" s="65"/>
      <c r="I54" s="92"/>
      <c r="J54" s="65"/>
      <c r="K54" s="94"/>
      <c r="L54" s="65"/>
      <c r="M54" s="94"/>
      <c r="N54" s="65"/>
      <c r="O54" s="65"/>
      <c r="P54" s="94"/>
      <c r="Q54" s="65"/>
      <c r="R54" s="94"/>
      <c r="S54" s="65"/>
      <c r="T54" s="65"/>
      <c r="U54" s="120"/>
      <c r="V54" s="115"/>
      <c r="W54" s="52">
        <f t="shared" ref="W54" si="13">+L54+M54+N54+O54</f>
        <v>0</v>
      </c>
      <c r="X54" s="53">
        <f t="shared" ref="X54:X85" si="14">+G54-W54</f>
        <v>0</v>
      </c>
    </row>
    <row r="55" spans="1:24" x14ac:dyDescent="0.2">
      <c r="A55" s="78">
        <v>11</v>
      </c>
      <c r="B55" s="79" t="s">
        <v>15</v>
      </c>
      <c r="C55" s="80">
        <f>3400*12</f>
        <v>40800</v>
      </c>
      <c r="D55" s="5"/>
      <c r="E55" s="5"/>
      <c r="F55" s="5"/>
      <c r="G55" s="18">
        <f t="shared" ref="G55:G119" si="15">+C55+D55-E55+F55</f>
        <v>40800</v>
      </c>
      <c r="H55" s="59">
        <v>3400</v>
      </c>
      <c r="I55" s="88">
        <v>3400</v>
      </c>
      <c r="J55" s="59">
        <v>4000</v>
      </c>
      <c r="K55" s="15">
        <v>4000</v>
      </c>
      <c r="L55" s="59">
        <f>+H55+I55+J55+K55</f>
        <v>14800</v>
      </c>
      <c r="M55" s="15">
        <v>4000</v>
      </c>
      <c r="N55" s="59">
        <v>4000</v>
      </c>
      <c r="O55" s="59">
        <v>4000</v>
      </c>
      <c r="P55" s="15">
        <v>4000</v>
      </c>
      <c r="Q55" s="59">
        <f>+M55+N55+O55+P55</f>
        <v>16000</v>
      </c>
      <c r="R55" s="15">
        <v>4000</v>
      </c>
      <c r="S55" s="59">
        <v>4000</v>
      </c>
      <c r="T55" s="59">
        <v>4000</v>
      </c>
      <c r="U55" s="121">
        <v>4000</v>
      </c>
      <c r="V55" s="116">
        <f>+R55+S55+T55+U55</f>
        <v>16000</v>
      </c>
      <c r="W55" s="18">
        <f>+L55+Q55+V55</f>
        <v>46800</v>
      </c>
      <c r="X55" s="54">
        <f t="shared" si="14"/>
        <v>-6000</v>
      </c>
    </row>
    <row r="56" spans="1:24" ht="22.5" x14ac:dyDescent="0.2">
      <c r="A56" s="78">
        <v>15</v>
      </c>
      <c r="B56" s="79" t="s">
        <v>16</v>
      </c>
      <c r="C56" s="80">
        <f>250*12</f>
        <v>3000</v>
      </c>
      <c r="D56" s="5"/>
      <c r="E56" s="5"/>
      <c r="F56" s="5"/>
      <c r="G56" s="18">
        <f t="shared" si="15"/>
        <v>3000</v>
      </c>
      <c r="H56" s="59">
        <v>250</v>
      </c>
      <c r="I56" s="88">
        <v>250</v>
      </c>
      <c r="J56" s="59">
        <v>250</v>
      </c>
      <c r="K56" s="15">
        <v>250</v>
      </c>
      <c r="L56" s="59">
        <f t="shared" ref="L56:L120" si="16">+H56+I56+J56+K56</f>
        <v>1000</v>
      </c>
      <c r="M56" s="15">
        <v>250</v>
      </c>
      <c r="N56" s="59">
        <v>250</v>
      </c>
      <c r="O56" s="59">
        <v>250</v>
      </c>
      <c r="P56" s="15">
        <v>250</v>
      </c>
      <c r="Q56" s="59">
        <f t="shared" ref="Q56:Q119" si="17">+M56+N56+O56+P56</f>
        <v>1000</v>
      </c>
      <c r="R56" s="15">
        <v>250</v>
      </c>
      <c r="S56" s="59">
        <v>250</v>
      </c>
      <c r="T56" s="59">
        <v>250</v>
      </c>
      <c r="U56" s="121">
        <v>250</v>
      </c>
      <c r="V56" s="116">
        <f t="shared" ref="V56:V119" si="18">+R56+S56+T56+U56</f>
        <v>1000</v>
      </c>
      <c r="W56" s="18">
        <f t="shared" ref="W56:W119" si="19">+L56+Q56+V56</f>
        <v>3000</v>
      </c>
      <c r="X56" s="54">
        <f t="shared" si="14"/>
        <v>0</v>
      </c>
    </row>
    <row r="57" spans="1:24" x14ac:dyDescent="0.2">
      <c r="A57" s="78">
        <v>22</v>
      </c>
      <c r="B57" s="79" t="s">
        <v>17</v>
      </c>
      <c r="C57" s="80"/>
      <c r="D57" s="5"/>
      <c r="E57" s="5"/>
      <c r="F57" s="5"/>
      <c r="G57" s="18">
        <f t="shared" si="15"/>
        <v>0</v>
      </c>
      <c r="H57" s="59"/>
      <c r="I57" s="88"/>
      <c r="J57" s="59"/>
      <c r="K57" s="15"/>
      <c r="L57" s="59">
        <f t="shared" si="16"/>
        <v>0</v>
      </c>
      <c r="M57" s="15"/>
      <c r="N57" s="59"/>
      <c r="O57" s="59"/>
      <c r="P57" s="15"/>
      <c r="Q57" s="59">
        <f t="shared" si="17"/>
        <v>0</v>
      </c>
      <c r="R57" s="15"/>
      <c r="S57" s="59"/>
      <c r="T57" s="59"/>
      <c r="U57" s="121"/>
      <c r="V57" s="116">
        <f t="shared" si="18"/>
        <v>0</v>
      </c>
      <c r="W57" s="18">
        <f t="shared" si="19"/>
        <v>0</v>
      </c>
      <c r="X57" s="54">
        <f t="shared" si="14"/>
        <v>0</v>
      </c>
    </row>
    <row r="58" spans="1:24" ht="22.5" x14ac:dyDescent="0.2">
      <c r="A58" s="78">
        <v>27</v>
      </c>
      <c r="B58" s="79" t="s">
        <v>18</v>
      </c>
      <c r="C58" s="80"/>
      <c r="D58" s="5"/>
      <c r="E58" s="5"/>
      <c r="F58" s="5"/>
      <c r="G58" s="18">
        <f t="shared" si="15"/>
        <v>0</v>
      </c>
      <c r="H58" s="59"/>
      <c r="I58" s="88"/>
      <c r="J58" s="59"/>
      <c r="K58" s="15"/>
      <c r="L58" s="59">
        <f t="shared" si="16"/>
        <v>0</v>
      </c>
      <c r="M58" s="15"/>
      <c r="N58" s="59"/>
      <c r="O58" s="59"/>
      <c r="P58" s="15"/>
      <c r="Q58" s="59">
        <f t="shared" si="17"/>
        <v>0</v>
      </c>
      <c r="R58" s="15"/>
      <c r="S58" s="15"/>
      <c r="T58" s="15"/>
      <c r="U58" s="121"/>
      <c r="V58" s="116">
        <f t="shared" si="18"/>
        <v>0</v>
      </c>
      <c r="W58" s="18">
        <f t="shared" si="19"/>
        <v>0</v>
      </c>
      <c r="X58" s="54">
        <f t="shared" si="14"/>
        <v>0</v>
      </c>
    </row>
    <row r="59" spans="1:24" x14ac:dyDescent="0.2">
      <c r="A59" s="78">
        <v>51</v>
      </c>
      <c r="B59" s="79" t="s">
        <v>19</v>
      </c>
      <c r="C59" s="80">
        <v>4353.3599999999997</v>
      </c>
      <c r="D59" s="5"/>
      <c r="E59" s="5"/>
      <c r="F59" s="5"/>
      <c r="G59" s="18">
        <f t="shared" si="15"/>
        <v>4353.3599999999997</v>
      </c>
      <c r="H59" s="59">
        <f>866.94</f>
        <v>866.94</v>
      </c>
      <c r="I59" s="88">
        <v>-866.94</v>
      </c>
      <c r="J59" s="59"/>
      <c r="K59" s="59"/>
      <c r="L59" s="59">
        <f t="shared" si="16"/>
        <v>0</v>
      </c>
      <c r="M59" s="15">
        <f>346.78+346.78+346.78+362.78+362.78+426.8+426.8</f>
        <v>2619.5</v>
      </c>
      <c r="N59" s="59">
        <v>426.8</v>
      </c>
      <c r="O59" s="59">
        <v>426.8</v>
      </c>
      <c r="P59" s="15">
        <v>426.8</v>
      </c>
      <c r="Q59" s="59">
        <f t="shared" si="17"/>
        <v>3899.9000000000005</v>
      </c>
      <c r="R59" s="15">
        <v>426.8</v>
      </c>
      <c r="S59" s="15">
        <v>426.8</v>
      </c>
      <c r="T59" s="15">
        <v>426.8</v>
      </c>
      <c r="U59" s="121">
        <v>426.8</v>
      </c>
      <c r="V59" s="116">
        <f t="shared" si="18"/>
        <v>1707.2</v>
      </c>
      <c r="W59" s="18">
        <f t="shared" si="19"/>
        <v>5607.1</v>
      </c>
      <c r="X59" s="54">
        <f t="shared" si="14"/>
        <v>-1253.7400000000007</v>
      </c>
    </row>
    <row r="60" spans="1:24" x14ac:dyDescent="0.2">
      <c r="A60" s="78">
        <v>61</v>
      </c>
      <c r="B60" s="79" t="s">
        <v>20</v>
      </c>
      <c r="C60" s="80"/>
      <c r="D60" s="5"/>
      <c r="E60" s="5"/>
      <c r="F60" s="5">
        <v>117420</v>
      </c>
      <c r="G60" s="18">
        <f t="shared" si="15"/>
        <v>117420</v>
      </c>
      <c r="H60" s="59">
        <v>7000</v>
      </c>
      <c r="I60" s="88">
        <f>3805+3805+2175+2175</f>
        <v>11960</v>
      </c>
      <c r="J60" s="59">
        <f>3805+3805+2175</f>
        <v>9785</v>
      </c>
      <c r="K60" s="59">
        <v>9785</v>
      </c>
      <c r="L60" s="59">
        <f>+H60+I60+J60+K60</f>
        <v>38530</v>
      </c>
      <c r="M60" s="59">
        <f>3805+3805+2175</f>
        <v>9785</v>
      </c>
      <c r="N60" s="59">
        <f>3805+3805+2175</f>
        <v>9785</v>
      </c>
      <c r="O60" s="59">
        <f>3805+3805+2175</f>
        <v>9785</v>
      </c>
      <c r="P60" s="15">
        <f>3805+3805+2175</f>
        <v>9785</v>
      </c>
      <c r="Q60" s="59">
        <f t="shared" si="17"/>
        <v>39140</v>
      </c>
      <c r="R60" s="15">
        <f>3805+2175+3805</f>
        <v>9785</v>
      </c>
      <c r="S60" s="15">
        <f>3805+3805+2175</f>
        <v>9785</v>
      </c>
      <c r="T60" s="15">
        <f>3805+3805+2175</f>
        <v>9785</v>
      </c>
      <c r="U60" s="121">
        <f>3805+3805+2175</f>
        <v>9785</v>
      </c>
      <c r="V60" s="116">
        <f t="shared" si="18"/>
        <v>39140</v>
      </c>
      <c r="W60" s="18">
        <f t="shared" si="19"/>
        <v>116810</v>
      </c>
      <c r="X60" s="54">
        <f t="shared" si="14"/>
        <v>610</v>
      </c>
    </row>
    <row r="61" spans="1:24" x14ac:dyDescent="0.2">
      <c r="A61" s="78">
        <v>63</v>
      </c>
      <c r="B61" s="79" t="s">
        <v>145</v>
      </c>
      <c r="C61" s="80"/>
      <c r="D61" s="5"/>
      <c r="E61" s="5"/>
      <c r="F61" s="5">
        <v>54000</v>
      </c>
      <c r="G61" s="18">
        <f t="shared" si="15"/>
        <v>54000</v>
      </c>
      <c r="H61" s="59">
        <v>4500</v>
      </c>
      <c r="I61" s="88">
        <v>4500</v>
      </c>
      <c r="J61" s="59">
        <v>4500</v>
      </c>
      <c r="K61" s="59">
        <v>4500</v>
      </c>
      <c r="L61" s="59">
        <f t="shared" si="16"/>
        <v>18000</v>
      </c>
      <c r="M61" s="15">
        <v>4500</v>
      </c>
      <c r="N61" s="59">
        <v>4500</v>
      </c>
      <c r="O61" s="59">
        <v>4500</v>
      </c>
      <c r="P61" s="15">
        <v>4500</v>
      </c>
      <c r="Q61" s="59">
        <f t="shared" si="17"/>
        <v>18000</v>
      </c>
      <c r="R61" s="15">
        <v>4500</v>
      </c>
      <c r="S61" s="15">
        <v>4500</v>
      </c>
      <c r="T61" s="15">
        <v>4500</v>
      </c>
      <c r="U61" s="121">
        <v>4500</v>
      </c>
      <c r="V61" s="116">
        <f t="shared" si="18"/>
        <v>18000</v>
      </c>
      <c r="W61" s="18">
        <f t="shared" si="19"/>
        <v>54000</v>
      </c>
      <c r="X61" s="54">
        <f t="shared" si="14"/>
        <v>0</v>
      </c>
    </row>
    <row r="62" spans="1:24" x14ac:dyDescent="0.2">
      <c r="A62" s="78" t="s">
        <v>73</v>
      </c>
      <c r="B62" s="79" t="s">
        <v>21</v>
      </c>
      <c r="C62" s="80">
        <v>3400</v>
      </c>
      <c r="D62" s="5"/>
      <c r="E62" s="5"/>
      <c r="F62" s="5"/>
      <c r="G62" s="18">
        <f t="shared" si="15"/>
        <v>3400</v>
      </c>
      <c r="H62" s="59"/>
      <c r="I62" s="88"/>
      <c r="J62" s="59"/>
      <c r="K62" s="59"/>
      <c r="L62" s="59">
        <f t="shared" si="16"/>
        <v>0</v>
      </c>
      <c r="M62" s="15"/>
      <c r="N62" s="59"/>
      <c r="O62" s="59"/>
      <c r="P62" s="15"/>
      <c r="Q62" s="59">
        <f t="shared" si="17"/>
        <v>0</v>
      </c>
      <c r="R62" s="15"/>
      <c r="S62" s="15"/>
      <c r="T62" s="15"/>
      <c r="U62" s="121">
        <v>3812.5</v>
      </c>
      <c r="V62" s="116">
        <f t="shared" si="18"/>
        <v>3812.5</v>
      </c>
      <c r="W62" s="18">
        <f t="shared" si="19"/>
        <v>3812.5</v>
      </c>
      <c r="X62" s="54">
        <f t="shared" si="14"/>
        <v>-412.5</v>
      </c>
    </row>
    <row r="63" spans="1:24" x14ac:dyDescent="0.2">
      <c r="A63" s="78">
        <v>72</v>
      </c>
      <c r="B63" s="79" t="s">
        <v>22</v>
      </c>
      <c r="C63" s="80">
        <v>3400</v>
      </c>
      <c r="D63" s="5"/>
      <c r="E63" s="5"/>
      <c r="F63" s="5">
        <v>124</v>
      </c>
      <c r="G63" s="18">
        <f t="shared" si="15"/>
        <v>3524</v>
      </c>
      <c r="H63" s="59"/>
      <c r="I63" s="88"/>
      <c r="J63" s="59"/>
      <c r="K63" s="59"/>
      <c r="L63" s="59">
        <f t="shared" si="16"/>
        <v>0</v>
      </c>
      <c r="M63" s="15"/>
      <c r="N63" s="59"/>
      <c r="O63" s="59">
        <v>3523.59</v>
      </c>
      <c r="P63" s="15"/>
      <c r="Q63" s="59">
        <f t="shared" si="17"/>
        <v>3523.59</v>
      </c>
      <c r="R63" s="15"/>
      <c r="S63" s="15"/>
      <c r="T63" s="15"/>
      <c r="U63" s="121"/>
      <c r="V63" s="116">
        <f t="shared" si="18"/>
        <v>0</v>
      </c>
      <c r="W63" s="18">
        <f t="shared" si="19"/>
        <v>3523.59</v>
      </c>
      <c r="X63" s="54">
        <f t="shared" si="14"/>
        <v>0.40999999999985448</v>
      </c>
    </row>
    <row r="64" spans="1:24" x14ac:dyDescent="0.2">
      <c r="A64" s="81" t="s">
        <v>74</v>
      </c>
      <c r="B64" s="79" t="s">
        <v>23</v>
      </c>
      <c r="C64" s="80"/>
      <c r="D64" s="5"/>
      <c r="E64" s="5"/>
      <c r="F64" s="5">
        <v>1700</v>
      </c>
      <c r="G64" s="18">
        <f t="shared" si="15"/>
        <v>1700</v>
      </c>
      <c r="H64" s="59"/>
      <c r="I64" s="88">
        <v>375</v>
      </c>
      <c r="J64" s="59"/>
      <c r="K64" s="59"/>
      <c r="L64" s="59">
        <f t="shared" si="16"/>
        <v>375</v>
      </c>
      <c r="M64" s="15">
        <v>550</v>
      </c>
      <c r="N64" s="59"/>
      <c r="O64" s="59">
        <v>750</v>
      </c>
      <c r="P64" s="15"/>
      <c r="Q64" s="59">
        <f t="shared" si="17"/>
        <v>1300</v>
      </c>
      <c r="R64" s="15"/>
      <c r="S64" s="15"/>
      <c r="T64" s="15"/>
      <c r="U64" s="121"/>
      <c r="V64" s="116">
        <f t="shared" si="18"/>
        <v>0</v>
      </c>
      <c r="W64" s="18">
        <f t="shared" si="19"/>
        <v>1675</v>
      </c>
      <c r="X64" s="54">
        <f t="shared" si="14"/>
        <v>25</v>
      </c>
    </row>
    <row r="65" spans="1:24" x14ac:dyDescent="0.2">
      <c r="A65" s="82" t="s">
        <v>75</v>
      </c>
      <c r="B65" s="83" t="s">
        <v>24</v>
      </c>
      <c r="C65" s="5"/>
      <c r="D65" s="5"/>
      <c r="E65" s="5"/>
      <c r="F65" s="5"/>
      <c r="G65" s="18">
        <f t="shared" si="15"/>
        <v>0</v>
      </c>
      <c r="H65" s="59"/>
      <c r="I65" s="88"/>
      <c r="J65" s="59"/>
      <c r="K65" s="59"/>
      <c r="L65" s="59">
        <f t="shared" si="16"/>
        <v>0</v>
      </c>
      <c r="M65" s="15"/>
      <c r="N65" s="59"/>
      <c r="O65" s="59"/>
      <c r="P65" s="15"/>
      <c r="Q65" s="59">
        <f t="shared" si="17"/>
        <v>0</v>
      </c>
      <c r="R65" s="15"/>
      <c r="S65" s="15"/>
      <c r="T65" s="15"/>
      <c r="U65" s="121"/>
      <c r="V65" s="116">
        <f t="shared" si="18"/>
        <v>0</v>
      </c>
      <c r="W65" s="18">
        <f t="shared" si="19"/>
        <v>0</v>
      </c>
      <c r="X65" s="54">
        <f t="shared" si="14"/>
        <v>0</v>
      </c>
    </row>
    <row r="66" spans="1:24" x14ac:dyDescent="0.2">
      <c r="A66" s="78">
        <v>111</v>
      </c>
      <c r="B66" s="79" t="s">
        <v>25</v>
      </c>
      <c r="C66" s="5">
        <v>1000</v>
      </c>
      <c r="D66" s="5"/>
      <c r="E66" s="5">
        <v>1000</v>
      </c>
      <c r="F66" s="5"/>
      <c r="G66" s="18">
        <f t="shared" si="15"/>
        <v>0</v>
      </c>
      <c r="H66" s="59"/>
      <c r="I66" s="88"/>
      <c r="J66" s="59"/>
      <c r="K66" s="59"/>
      <c r="L66" s="59">
        <f t="shared" si="16"/>
        <v>0</v>
      </c>
      <c r="M66" s="15"/>
      <c r="N66" s="59"/>
      <c r="O66" s="59"/>
      <c r="P66" s="15"/>
      <c r="Q66" s="59">
        <f t="shared" si="17"/>
        <v>0</v>
      </c>
      <c r="R66" s="15"/>
      <c r="S66" s="15"/>
      <c r="T66" s="15"/>
      <c r="U66" s="121"/>
      <c r="V66" s="116">
        <f t="shared" si="18"/>
        <v>0</v>
      </c>
      <c r="W66" s="18">
        <f t="shared" si="19"/>
        <v>0</v>
      </c>
      <c r="X66" s="54">
        <f t="shared" si="14"/>
        <v>0</v>
      </c>
    </row>
    <row r="67" spans="1:24" x14ac:dyDescent="0.2">
      <c r="A67" s="78">
        <v>112</v>
      </c>
      <c r="B67" s="79" t="s">
        <v>26</v>
      </c>
      <c r="C67" s="5"/>
      <c r="D67" s="5"/>
      <c r="E67" s="5"/>
      <c r="F67" s="5"/>
      <c r="G67" s="18">
        <f t="shared" si="15"/>
        <v>0</v>
      </c>
      <c r="H67" s="59"/>
      <c r="I67" s="88"/>
      <c r="J67" s="59"/>
      <c r="K67" s="59"/>
      <c r="L67" s="59">
        <f t="shared" si="16"/>
        <v>0</v>
      </c>
      <c r="M67" s="15"/>
      <c r="N67" s="59"/>
      <c r="O67" s="59"/>
      <c r="P67" s="15"/>
      <c r="Q67" s="59">
        <f t="shared" si="17"/>
        <v>0</v>
      </c>
      <c r="R67" s="15"/>
      <c r="S67" s="15"/>
      <c r="T67" s="15"/>
      <c r="U67" s="121"/>
      <c r="V67" s="116">
        <f t="shared" si="18"/>
        <v>0</v>
      </c>
      <c r="W67" s="18">
        <f t="shared" si="19"/>
        <v>0</v>
      </c>
      <c r="X67" s="54">
        <f t="shared" si="14"/>
        <v>0</v>
      </c>
    </row>
    <row r="68" spans="1:24" x14ac:dyDescent="0.2">
      <c r="A68" s="78">
        <v>113</v>
      </c>
      <c r="B68" s="79" t="s">
        <v>27</v>
      </c>
      <c r="C68" s="5">
        <v>1500</v>
      </c>
      <c r="D68" s="5"/>
      <c r="E68" s="5">
        <v>1500</v>
      </c>
      <c r="F68" s="5"/>
      <c r="G68" s="18">
        <f t="shared" si="15"/>
        <v>0</v>
      </c>
      <c r="H68" s="59"/>
      <c r="I68" s="88"/>
      <c r="J68" s="59"/>
      <c r="K68" s="59"/>
      <c r="L68" s="59">
        <f t="shared" si="16"/>
        <v>0</v>
      </c>
      <c r="M68" s="15"/>
      <c r="N68" s="59"/>
      <c r="O68" s="59"/>
      <c r="P68" s="15"/>
      <c r="Q68" s="59">
        <f t="shared" si="17"/>
        <v>0</v>
      </c>
      <c r="R68" s="15"/>
      <c r="S68" s="15"/>
      <c r="T68" s="15"/>
      <c r="U68" s="121"/>
      <c r="V68" s="116">
        <f t="shared" si="18"/>
        <v>0</v>
      </c>
      <c r="W68" s="18">
        <f t="shared" si="19"/>
        <v>0</v>
      </c>
      <c r="X68" s="54">
        <f t="shared" si="14"/>
        <v>0</v>
      </c>
    </row>
    <row r="69" spans="1:24" x14ac:dyDescent="0.2">
      <c r="A69" s="78">
        <v>114</v>
      </c>
      <c r="B69" s="79" t="s">
        <v>28</v>
      </c>
      <c r="C69" s="5"/>
      <c r="D69" s="5"/>
      <c r="E69" s="5"/>
      <c r="F69" s="5"/>
      <c r="G69" s="18">
        <f t="shared" si="15"/>
        <v>0</v>
      </c>
      <c r="H69" s="59"/>
      <c r="I69" s="88"/>
      <c r="J69" s="59"/>
      <c r="K69" s="59"/>
      <c r="L69" s="59">
        <f t="shared" si="16"/>
        <v>0</v>
      </c>
      <c r="M69" s="15"/>
      <c r="N69" s="59"/>
      <c r="O69" s="59"/>
      <c r="P69" s="15"/>
      <c r="Q69" s="59">
        <f t="shared" si="17"/>
        <v>0</v>
      </c>
      <c r="R69" s="15"/>
      <c r="S69" s="15"/>
      <c r="T69" s="15"/>
      <c r="U69" s="121"/>
      <c r="V69" s="116">
        <f t="shared" si="18"/>
        <v>0</v>
      </c>
      <c r="W69" s="18">
        <f t="shared" si="19"/>
        <v>0</v>
      </c>
      <c r="X69" s="54">
        <f t="shared" si="14"/>
        <v>0</v>
      </c>
    </row>
    <row r="70" spans="1:24" ht="22.5" x14ac:dyDescent="0.2">
      <c r="A70" s="78">
        <v>115</v>
      </c>
      <c r="B70" s="79" t="s">
        <v>29</v>
      </c>
      <c r="C70" s="5">
        <v>600</v>
      </c>
      <c r="D70" s="5"/>
      <c r="E70" s="5"/>
      <c r="F70" s="5"/>
      <c r="G70" s="18">
        <f t="shared" si="15"/>
        <v>600</v>
      </c>
      <c r="H70" s="59"/>
      <c r="I70" s="88"/>
      <c r="J70" s="59"/>
      <c r="K70" s="59"/>
      <c r="L70" s="59">
        <f t="shared" si="16"/>
        <v>0</v>
      </c>
      <c r="M70" s="15">
        <v>300</v>
      </c>
      <c r="N70" s="59"/>
      <c r="O70" s="59"/>
      <c r="P70" s="15"/>
      <c r="Q70" s="59">
        <f t="shared" si="17"/>
        <v>300</v>
      </c>
      <c r="R70" s="15"/>
      <c r="S70" s="15"/>
      <c r="T70" s="15">
        <v>500</v>
      </c>
      <c r="U70" s="121">
        <v>500</v>
      </c>
      <c r="V70" s="116">
        <f t="shared" si="18"/>
        <v>1000</v>
      </c>
      <c r="W70" s="18">
        <f t="shared" si="19"/>
        <v>1300</v>
      </c>
      <c r="X70" s="54">
        <f t="shared" si="14"/>
        <v>-700</v>
      </c>
    </row>
    <row r="71" spans="1:24" x14ac:dyDescent="0.2">
      <c r="A71" s="78">
        <v>121</v>
      </c>
      <c r="B71" s="79" t="s">
        <v>30</v>
      </c>
      <c r="C71" s="5"/>
      <c r="D71" s="5"/>
      <c r="E71" s="5"/>
      <c r="F71" s="5">
        <v>2100</v>
      </c>
      <c r="G71" s="18">
        <f t="shared" si="15"/>
        <v>2100</v>
      </c>
      <c r="H71" s="59"/>
      <c r="I71" s="88"/>
      <c r="J71" s="59"/>
      <c r="K71" s="59"/>
      <c r="L71" s="59">
        <f t="shared" si="16"/>
        <v>0</v>
      </c>
      <c r="M71" s="15"/>
      <c r="N71" s="59"/>
      <c r="O71" s="59">
        <v>2050.1999999999998</v>
      </c>
      <c r="P71" s="15"/>
      <c r="Q71" s="59">
        <f t="shared" si="17"/>
        <v>2050.1999999999998</v>
      </c>
      <c r="R71" s="15"/>
      <c r="S71" s="15"/>
      <c r="T71" s="15"/>
      <c r="U71" s="121"/>
      <c r="V71" s="116">
        <f t="shared" si="18"/>
        <v>0</v>
      </c>
      <c r="W71" s="18">
        <f t="shared" si="19"/>
        <v>2050.1999999999998</v>
      </c>
      <c r="X71" s="54">
        <f t="shared" si="14"/>
        <v>49.800000000000182</v>
      </c>
    </row>
    <row r="72" spans="1:24" x14ac:dyDescent="0.2">
      <c r="A72" s="78">
        <v>122</v>
      </c>
      <c r="B72" s="79" t="s">
        <v>111</v>
      </c>
      <c r="C72" s="5"/>
      <c r="D72" s="5"/>
      <c r="E72" s="5"/>
      <c r="F72" s="5"/>
      <c r="G72" s="18">
        <f t="shared" si="15"/>
        <v>0</v>
      </c>
      <c r="H72" s="59"/>
      <c r="I72" s="88"/>
      <c r="J72" s="59"/>
      <c r="K72" s="59"/>
      <c r="L72" s="59">
        <f t="shared" si="16"/>
        <v>0</v>
      </c>
      <c r="M72" s="15"/>
      <c r="N72" s="59"/>
      <c r="O72" s="59"/>
      <c r="P72" s="15"/>
      <c r="Q72" s="59">
        <f t="shared" si="17"/>
        <v>0</v>
      </c>
      <c r="R72" s="15"/>
      <c r="S72" s="15"/>
      <c r="T72" s="15"/>
      <c r="U72" s="121"/>
      <c r="V72" s="116">
        <f t="shared" si="18"/>
        <v>0</v>
      </c>
      <c r="W72" s="18">
        <f t="shared" si="19"/>
        <v>0</v>
      </c>
      <c r="X72" s="54">
        <f t="shared" si="14"/>
        <v>0</v>
      </c>
    </row>
    <row r="73" spans="1:24" x14ac:dyDescent="0.2">
      <c r="A73" s="61">
        <v>131</v>
      </c>
      <c r="B73" s="45" t="s">
        <v>31</v>
      </c>
      <c r="C73" s="18"/>
      <c r="D73" s="18"/>
      <c r="E73" s="18"/>
      <c r="F73" s="18">
        <f>29837.5+6767.38+59675+6777.38</f>
        <v>103057.26000000001</v>
      </c>
      <c r="G73" s="18">
        <f t="shared" si="15"/>
        <v>103057.26000000001</v>
      </c>
      <c r="H73" s="59"/>
      <c r="I73" s="88"/>
      <c r="J73" s="15"/>
      <c r="K73" s="15"/>
      <c r="L73" s="59">
        <f t="shared" si="16"/>
        <v>0</v>
      </c>
      <c r="M73" s="15"/>
      <c r="N73" s="15"/>
      <c r="O73" s="15"/>
      <c r="P73" s="15"/>
      <c r="Q73" s="59">
        <f t="shared" si="17"/>
        <v>0</v>
      </c>
      <c r="R73" s="15">
        <v>11519.2</v>
      </c>
      <c r="S73" s="15"/>
      <c r="T73" s="15">
        <f>66452.4+36614.9</f>
        <v>103067.29999999999</v>
      </c>
      <c r="U73" s="121"/>
      <c r="V73" s="116">
        <f t="shared" si="18"/>
        <v>114586.49999999999</v>
      </c>
      <c r="W73" s="18">
        <f t="shared" si="19"/>
        <v>114586.49999999999</v>
      </c>
      <c r="X73" s="54">
        <f t="shared" si="14"/>
        <v>-11529.239999999976</v>
      </c>
    </row>
    <row r="74" spans="1:24" x14ac:dyDescent="0.2">
      <c r="A74" s="78" t="s">
        <v>76</v>
      </c>
      <c r="B74" s="79" t="s">
        <v>32</v>
      </c>
      <c r="C74" s="5">
        <v>8500</v>
      </c>
      <c r="D74" s="5"/>
      <c r="E74" s="5">
        <v>8500</v>
      </c>
      <c r="F74" s="5">
        <f>15500+60752.025+33771.25+98286.22</f>
        <v>208309.495</v>
      </c>
      <c r="G74" s="18">
        <f t="shared" si="15"/>
        <v>208309.495</v>
      </c>
      <c r="H74" s="59"/>
      <c r="I74" s="88"/>
      <c r="J74" s="59"/>
      <c r="K74" s="59"/>
      <c r="L74" s="59">
        <f t="shared" si="16"/>
        <v>0</v>
      </c>
      <c r="M74" s="15"/>
      <c r="N74" s="59"/>
      <c r="O74" s="59">
        <f>12480+12232.82+12176.62+12176.62+12480+11203.87+12176.62+12176.62+12174.74+12480+12480+12480+12480+261.07+261.07+247.18+303.38+303.38+305.26+1276.13</f>
        <v>162155.38000000003</v>
      </c>
      <c r="P74" s="91">
        <f>6026.27+6026.27+6026.27+6026.27+6026.27+6026.27+6026.27+6026.27+6026.27+6026.27+6026.27+6026.27+6026.27+6026.27</f>
        <v>84367.780000000028</v>
      </c>
      <c r="Q74" s="59">
        <f t="shared" si="17"/>
        <v>246523.16000000006</v>
      </c>
      <c r="R74" s="91"/>
      <c r="S74" s="15">
        <v>6750.25</v>
      </c>
      <c r="T74" s="15"/>
      <c r="U74" s="121"/>
      <c r="V74" s="116">
        <f t="shared" si="18"/>
        <v>6750.25</v>
      </c>
      <c r="W74" s="18">
        <f t="shared" si="19"/>
        <v>253273.41000000006</v>
      </c>
      <c r="X74" s="54">
        <f t="shared" si="14"/>
        <v>-44963.915000000066</v>
      </c>
    </row>
    <row r="75" spans="1:24" x14ac:dyDescent="0.2">
      <c r="A75" s="78" t="s">
        <v>77</v>
      </c>
      <c r="B75" s="79" t="s">
        <v>33</v>
      </c>
      <c r="C75" s="5">
        <v>20800</v>
      </c>
      <c r="D75" s="5"/>
      <c r="E75" s="5"/>
      <c r="F75" s="5">
        <v>5200</v>
      </c>
      <c r="G75" s="18">
        <f t="shared" si="15"/>
        <v>26000</v>
      </c>
      <c r="H75" s="59"/>
      <c r="I75" s="88">
        <v>5200</v>
      </c>
      <c r="J75" s="59"/>
      <c r="K75" s="59">
        <v>5200</v>
      </c>
      <c r="L75" s="59">
        <f t="shared" si="16"/>
        <v>10400</v>
      </c>
      <c r="M75" s="15"/>
      <c r="N75" s="59"/>
      <c r="O75" s="59"/>
      <c r="P75" s="15"/>
      <c r="Q75" s="59">
        <f t="shared" si="17"/>
        <v>0</v>
      </c>
      <c r="R75" s="15">
        <v>4680</v>
      </c>
      <c r="S75" s="15"/>
      <c r="T75" s="15">
        <v>4680</v>
      </c>
      <c r="U75" s="121">
        <v>6200</v>
      </c>
      <c r="V75" s="116">
        <f t="shared" si="18"/>
        <v>15560</v>
      </c>
      <c r="W75" s="18">
        <f t="shared" si="19"/>
        <v>25960</v>
      </c>
      <c r="X75" s="54">
        <f t="shared" si="14"/>
        <v>40</v>
      </c>
    </row>
    <row r="76" spans="1:24" ht="22.5" x14ac:dyDescent="0.2">
      <c r="A76" s="78">
        <v>151</v>
      </c>
      <c r="B76" s="79" t="s">
        <v>34</v>
      </c>
      <c r="C76" s="5">
        <v>60000</v>
      </c>
      <c r="D76" s="5"/>
      <c r="E76" s="5">
        <v>60000</v>
      </c>
      <c r="F76" s="5"/>
      <c r="G76" s="18">
        <f t="shared" si="15"/>
        <v>0</v>
      </c>
      <c r="H76" s="59"/>
      <c r="I76" s="88"/>
      <c r="J76" s="59"/>
      <c r="K76" s="59"/>
      <c r="L76" s="59">
        <f t="shared" si="16"/>
        <v>0</v>
      </c>
      <c r="M76" s="15"/>
      <c r="N76" s="59"/>
      <c r="O76" s="59"/>
      <c r="P76" s="15"/>
      <c r="Q76" s="59">
        <f t="shared" si="17"/>
        <v>0</v>
      </c>
      <c r="R76" s="15"/>
      <c r="S76" s="15"/>
      <c r="T76" s="15"/>
      <c r="U76" s="121"/>
      <c r="V76" s="116">
        <f t="shared" si="18"/>
        <v>0</v>
      </c>
      <c r="W76" s="18">
        <f t="shared" si="19"/>
        <v>0</v>
      </c>
      <c r="X76" s="54">
        <f t="shared" si="14"/>
        <v>0</v>
      </c>
    </row>
    <row r="77" spans="1:24" ht="22.5" x14ac:dyDescent="0.2">
      <c r="A77" s="78">
        <v>152</v>
      </c>
      <c r="B77" s="79" t="s">
        <v>35</v>
      </c>
      <c r="C77" s="5"/>
      <c r="D77" s="5"/>
      <c r="E77" s="5"/>
      <c r="F77" s="5"/>
      <c r="G77" s="18">
        <f t="shared" si="15"/>
        <v>0</v>
      </c>
      <c r="H77" s="59"/>
      <c r="I77" s="88"/>
      <c r="J77" s="59"/>
      <c r="K77" s="59"/>
      <c r="L77" s="59">
        <f t="shared" si="16"/>
        <v>0</v>
      </c>
      <c r="M77" s="15"/>
      <c r="N77" s="59"/>
      <c r="O77" s="59"/>
      <c r="P77" s="15"/>
      <c r="Q77" s="59">
        <f t="shared" si="17"/>
        <v>0</v>
      </c>
      <c r="R77" s="15"/>
      <c r="S77" s="15"/>
      <c r="T77" s="15"/>
      <c r="U77" s="121"/>
      <c r="V77" s="116">
        <f t="shared" si="18"/>
        <v>0</v>
      </c>
      <c r="W77" s="18">
        <f t="shared" si="19"/>
        <v>0</v>
      </c>
      <c r="X77" s="54">
        <f t="shared" si="14"/>
        <v>0</v>
      </c>
    </row>
    <row r="78" spans="1:24" ht="22.5" x14ac:dyDescent="0.2">
      <c r="A78" s="78">
        <v>153</v>
      </c>
      <c r="B78" s="79" t="s">
        <v>36</v>
      </c>
      <c r="C78" s="5">
        <v>40320</v>
      </c>
      <c r="D78" s="5"/>
      <c r="E78" s="5">
        <v>40000</v>
      </c>
      <c r="F78" s="5"/>
      <c r="G78" s="18">
        <f t="shared" si="15"/>
        <v>320</v>
      </c>
      <c r="H78" s="59"/>
      <c r="I78" s="88"/>
      <c r="J78" s="59"/>
      <c r="K78" s="59"/>
      <c r="L78" s="59">
        <f t="shared" si="16"/>
        <v>0</v>
      </c>
      <c r="M78" s="15"/>
      <c r="N78" s="59"/>
      <c r="O78" s="59"/>
      <c r="P78" s="15"/>
      <c r="Q78" s="59">
        <f t="shared" si="17"/>
        <v>0</v>
      </c>
      <c r="R78" s="15"/>
      <c r="S78" s="15"/>
      <c r="T78" s="15"/>
      <c r="U78" s="121"/>
      <c r="V78" s="116">
        <f t="shared" si="18"/>
        <v>0</v>
      </c>
      <c r="W78" s="18">
        <f t="shared" si="19"/>
        <v>0</v>
      </c>
      <c r="X78" s="54">
        <f t="shared" si="14"/>
        <v>320</v>
      </c>
    </row>
    <row r="79" spans="1:24" ht="22.5" x14ac:dyDescent="0.2">
      <c r="A79" s="78">
        <v>155</v>
      </c>
      <c r="B79" s="79" t="s">
        <v>37</v>
      </c>
      <c r="C79" s="5"/>
      <c r="D79" s="5"/>
      <c r="E79" s="5"/>
      <c r="F79" s="5"/>
      <c r="G79" s="18">
        <f t="shared" si="15"/>
        <v>0</v>
      </c>
      <c r="H79" s="59"/>
      <c r="I79" s="88"/>
      <c r="J79" s="59"/>
      <c r="K79" s="59"/>
      <c r="L79" s="59">
        <f t="shared" si="16"/>
        <v>0</v>
      </c>
      <c r="M79" s="15"/>
      <c r="N79" s="59"/>
      <c r="O79" s="59"/>
      <c r="P79" s="15"/>
      <c r="Q79" s="59">
        <f t="shared" si="17"/>
        <v>0</v>
      </c>
      <c r="R79" s="15"/>
      <c r="S79" s="15"/>
      <c r="T79" s="15"/>
      <c r="U79" s="121"/>
      <c r="V79" s="116">
        <f t="shared" si="18"/>
        <v>0</v>
      </c>
      <c r="W79" s="18">
        <f t="shared" si="19"/>
        <v>0</v>
      </c>
      <c r="X79" s="54">
        <f t="shared" si="14"/>
        <v>0</v>
      </c>
    </row>
    <row r="80" spans="1:24" ht="22.5" x14ac:dyDescent="0.2">
      <c r="A80" s="78">
        <v>156</v>
      </c>
      <c r="B80" s="79" t="s">
        <v>134</v>
      </c>
      <c r="C80" s="5"/>
      <c r="D80" s="5"/>
      <c r="E80" s="5"/>
      <c r="F80" s="5"/>
      <c r="G80" s="18">
        <f t="shared" si="15"/>
        <v>0</v>
      </c>
      <c r="H80" s="59"/>
      <c r="I80" s="88"/>
      <c r="J80" s="59"/>
      <c r="K80" s="59"/>
      <c r="L80" s="59">
        <f t="shared" si="16"/>
        <v>0</v>
      </c>
      <c r="M80" s="15"/>
      <c r="N80" s="59"/>
      <c r="O80" s="59"/>
      <c r="P80" s="15"/>
      <c r="Q80" s="59">
        <f t="shared" si="17"/>
        <v>0</v>
      </c>
      <c r="R80" s="15"/>
      <c r="S80" s="15"/>
      <c r="T80" s="15"/>
      <c r="U80" s="121"/>
      <c r="V80" s="116">
        <f t="shared" si="18"/>
        <v>0</v>
      </c>
      <c r="W80" s="18">
        <f t="shared" si="19"/>
        <v>0</v>
      </c>
      <c r="X80" s="54">
        <f t="shared" si="14"/>
        <v>0</v>
      </c>
    </row>
    <row r="81" spans="1:24" ht="22.5" x14ac:dyDescent="0.2">
      <c r="A81" s="78">
        <v>161</v>
      </c>
      <c r="B81" s="79" t="s">
        <v>78</v>
      </c>
      <c r="C81" s="5"/>
      <c r="D81" s="5"/>
      <c r="E81" s="5"/>
      <c r="F81" s="5"/>
      <c r="G81" s="18">
        <f t="shared" si="15"/>
        <v>0</v>
      </c>
      <c r="H81" s="59"/>
      <c r="I81" s="88"/>
      <c r="J81" s="59"/>
      <c r="K81" s="59"/>
      <c r="L81" s="59">
        <f t="shared" si="16"/>
        <v>0</v>
      </c>
      <c r="M81" s="15"/>
      <c r="N81" s="59"/>
      <c r="O81" s="59"/>
      <c r="P81" s="15"/>
      <c r="Q81" s="59">
        <f t="shared" si="17"/>
        <v>0</v>
      </c>
      <c r="R81" s="15"/>
      <c r="S81" s="15"/>
      <c r="T81" s="15"/>
      <c r="U81" s="121"/>
      <c r="V81" s="116">
        <f t="shared" si="18"/>
        <v>0</v>
      </c>
      <c r="W81" s="18">
        <f t="shared" si="19"/>
        <v>0</v>
      </c>
      <c r="X81" s="54">
        <f t="shared" si="14"/>
        <v>0</v>
      </c>
    </row>
    <row r="82" spans="1:24" ht="22.5" x14ac:dyDescent="0.2">
      <c r="A82" s="78">
        <v>164</v>
      </c>
      <c r="B82" s="79" t="s">
        <v>38</v>
      </c>
      <c r="C82" s="5"/>
      <c r="D82" s="5"/>
      <c r="E82" s="5"/>
      <c r="F82" s="5"/>
      <c r="G82" s="18">
        <f t="shared" si="15"/>
        <v>0</v>
      </c>
      <c r="H82" s="59"/>
      <c r="I82" s="88"/>
      <c r="J82" s="59"/>
      <c r="K82" s="59"/>
      <c r="L82" s="59">
        <f t="shared" si="16"/>
        <v>0</v>
      </c>
      <c r="M82" s="15"/>
      <c r="N82" s="59"/>
      <c r="O82" s="59"/>
      <c r="P82" s="15"/>
      <c r="Q82" s="59">
        <f t="shared" si="17"/>
        <v>0</v>
      </c>
      <c r="R82" s="15"/>
      <c r="S82" s="15"/>
      <c r="T82" s="15"/>
      <c r="U82" s="121"/>
      <c r="V82" s="116">
        <f t="shared" si="18"/>
        <v>0</v>
      </c>
      <c r="W82" s="18">
        <f t="shared" si="19"/>
        <v>0</v>
      </c>
      <c r="X82" s="54">
        <f t="shared" si="14"/>
        <v>0</v>
      </c>
    </row>
    <row r="83" spans="1:24" ht="22.5" x14ac:dyDescent="0.2">
      <c r="A83" s="78" t="s">
        <v>79</v>
      </c>
      <c r="B83" s="79" t="s">
        <v>39</v>
      </c>
      <c r="C83" s="5"/>
      <c r="D83" s="5"/>
      <c r="E83" s="5"/>
      <c r="F83" s="5"/>
      <c r="G83" s="18">
        <f t="shared" si="15"/>
        <v>0</v>
      </c>
      <c r="H83" s="59"/>
      <c r="I83" s="88"/>
      <c r="J83" s="59"/>
      <c r="K83" s="59"/>
      <c r="L83" s="59">
        <f t="shared" si="16"/>
        <v>0</v>
      </c>
      <c r="M83" s="15"/>
      <c r="N83" s="59"/>
      <c r="O83" s="59"/>
      <c r="P83" s="15"/>
      <c r="Q83" s="59">
        <f t="shared" si="17"/>
        <v>0</v>
      </c>
      <c r="R83" s="15"/>
      <c r="S83" s="15"/>
      <c r="T83" s="15"/>
      <c r="U83" s="121"/>
      <c r="V83" s="116">
        <f t="shared" si="18"/>
        <v>0</v>
      </c>
      <c r="W83" s="18">
        <f t="shared" si="19"/>
        <v>0</v>
      </c>
      <c r="X83" s="54">
        <f t="shared" si="14"/>
        <v>0</v>
      </c>
    </row>
    <row r="84" spans="1:24" ht="22.5" x14ac:dyDescent="0.2">
      <c r="A84" s="78">
        <v>169</v>
      </c>
      <c r="B84" s="79" t="s">
        <v>80</v>
      </c>
      <c r="C84" s="5"/>
      <c r="D84" s="5"/>
      <c r="E84" s="5"/>
      <c r="F84" s="5"/>
      <c r="G84" s="18">
        <f t="shared" si="15"/>
        <v>0</v>
      </c>
      <c r="H84" s="59"/>
      <c r="I84" s="88"/>
      <c r="J84" s="59"/>
      <c r="K84" s="59"/>
      <c r="L84" s="59">
        <f t="shared" si="16"/>
        <v>0</v>
      </c>
      <c r="M84" s="15"/>
      <c r="N84" s="59"/>
      <c r="O84" s="59"/>
      <c r="P84" s="15"/>
      <c r="Q84" s="59">
        <f t="shared" si="17"/>
        <v>0</v>
      </c>
      <c r="R84" s="15"/>
      <c r="S84" s="15"/>
      <c r="T84" s="15"/>
      <c r="U84" s="121"/>
      <c r="V84" s="116">
        <f t="shared" si="18"/>
        <v>0</v>
      </c>
      <c r="W84" s="18">
        <f t="shared" si="19"/>
        <v>0</v>
      </c>
      <c r="X84" s="54">
        <f t="shared" si="14"/>
        <v>0</v>
      </c>
    </row>
    <row r="85" spans="1:24" x14ac:dyDescent="0.2">
      <c r="A85" s="78">
        <v>182</v>
      </c>
      <c r="B85" s="79" t="s">
        <v>81</v>
      </c>
      <c r="C85" s="5"/>
      <c r="D85" s="5"/>
      <c r="E85" s="5"/>
      <c r="F85" s="5"/>
      <c r="G85" s="18">
        <f t="shared" si="15"/>
        <v>0</v>
      </c>
      <c r="H85" s="59"/>
      <c r="I85" s="88"/>
      <c r="J85" s="59"/>
      <c r="K85" s="59"/>
      <c r="L85" s="59">
        <f t="shared" si="16"/>
        <v>0</v>
      </c>
      <c r="M85" s="15"/>
      <c r="N85" s="59"/>
      <c r="O85" s="59"/>
      <c r="P85" s="15"/>
      <c r="Q85" s="59">
        <f t="shared" si="17"/>
        <v>0</v>
      </c>
      <c r="R85" s="15"/>
      <c r="S85" s="15"/>
      <c r="T85" s="15"/>
      <c r="U85" s="121"/>
      <c r="V85" s="116">
        <f t="shared" si="18"/>
        <v>0</v>
      </c>
      <c r="W85" s="18">
        <f t="shared" si="19"/>
        <v>0</v>
      </c>
      <c r="X85" s="54">
        <f t="shared" si="14"/>
        <v>0</v>
      </c>
    </row>
    <row r="86" spans="1:24" x14ac:dyDescent="0.2">
      <c r="A86" s="78">
        <v>183</v>
      </c>
      <c r="B86" s="79" t="s">
        <v>40</v>
      </c>
      <c r="C86" s="5"/>
      <c r="D86" s="5"/>
      <c r="E86" s="5"/>
      <c r="F86" s="5"/>
      <c r="G86" s="18">
        <f t="shared" si="15"/>
        <v>0</v>
      </c>
      <c r="H86" s="59"/>
      <c r="I86" s="88"/>
      <c r="J86" s="59"/>
      <c r="K86" s="59"/>
      <c r="L86" s="59">
        <f t="shared" si="16"/>
        <v>0</v>
      </c>
      <c r="M86" s="15"/>
      <c r="N86" s="59"/>
      <c r="O86" s="59"/>
      <c r="P86" s="15"/>
      <c r="Q86" s="59">
        <f t="shared" si="17"/>
        <v>0</v>
      </c>
      <c r="R86" s="15"/>
      <c r="S86" s="15">
        <f>4656.26+4448.39</f>
        <v>9104.6500000000015</v>
      </c>
      <c r="T86" s="15"/>
      <c r="U86" s="121"/>
      <c r="V86" s="116">
        <f t="shared" si="18"/>
        <v>9104.6500000000015</v>
      </c>
      <c r="W86" s="18">
        <f t="shared" si="19"/>
        <v>9104.6500000000015</v>
      </c>
      <c r="X86" s="54">
        <f t="shared" ref="X86:X117" si="20">+G86-W86</f>
        <v>-9104.6500000000015</v>
      </c>
    </row>
    <row r="87" spans="1:24" x14ac:dyDescent="0.2">
      <c r="A87" s="78">
        <v>185</v>
      </c>
      <c r="B87" s="79" t="s">
        <v>41</v>
      </c>
      <c r="C87" s="5"/>
      <c r="D87" s="5"/>
      <c r="E87" s="5"/>
      <c r="F87" s="5"/>
      <c r="G87" s="18">
        <f t="shared" si="15"/>
        <v>0</v>
      </c>
      <c r="H87" s="59"/>
      <c r="I87" s="88"/>
      <c r="J87" s="59"/>
      <c r="K87" s="59"/>
      <c r="L87" s="59">
        <f t="shared" si="16"/>
        <v>0</v>
      </c>
      <c r="M87" s="15"/>
      <c r="N87" s="59"/>
      <c r="O87" s="59"/>
      <c r="P87" s="15"/>
      <c r="Q87" s="59">
        <f t="shared" si="17"/>
        <v>0</v>
      </c>
      <c r="R87" s="15"/>
      <c r="S87" s="15"/>
      <c r="T87" s="15"/>
      <c r="U87" s="121"/>
      <c r="V87" s="116">
        <f t="shared" si="18"/>
        <v>0</v>
      </c>
      <c r="W87" s="18">
        <f t="shared" si="19"/>
        <v>0</v>
      </c>
      <c r="X87" s="54">
        <f t="shared" si="20"/>
        <v>0</v>
      </c>
    </row>
    <row r="88" spans="1:24" ht="22.5" x14ac:dyDescent="0.2">
      <c r="A88" s="78">
        <v>186</v>
      </c>
      <c r="B88" s="79" t="s">
        <v>42</v>
      </c>
      <c r="C88" s="5">
        <v>24320</v>
      </c>
      <c r="D88" s="5"/>
      <c r="E88" s="5"/>
      <c r="F88" s="5">
        <f>25500+7000</f>
        <v>32500</v>
      </c>
      <c r="G88" s="18">
        <f t="shared" si="15"/>
        <v>56820</v>
      </c>
      <c r="H88" s="59">
        <v>914.5</v>
      </c>
      <c r="I88" s="88">
        <f>6000+1792+918.4+560+914.5</f>
        <v>10184.9</v>
      </c>
      <c r="J88" s="59">
        <f>914.5+900</f>
        <v>1814.5</v>
      </c>
      <c r="K88" s="59">
        <v>8451.25</v>
      </c>
      <c r="L88" s="59">
        <f t="shared" si="16"/>
        <v>21365.15</v>
      </c>
      <c r="M88" s="15">
        <f>560+914.5+900</f>
        <v>2374.5</v>
      </c>
      <c r="N88" s="59">
        <f>900+914.5</f>
        <v>1814.5</v>
      </c>
      <c r="O88" s="59">
        <f>800+450+914.5</f>
        <v>2164.5</v>
      </c>
      <c r="P88" s="15">
        <f>450+1814.5</f>
        <v>2264.5</v>
      </c>
      <c r="Q88" s="59">
        <f t="shared" si="17"/>
        <v>8618</v>
      </c>
      <c r="R88" s="15">
        <f>560+2340+3683.75+450+900</f>
        <v>7933.75</v>
      </c>
      <c r="S88" s="15">
        <f>450+900</f>
        <v>1350</v>
      </c>
      <c r="T88" s="15">
        <f>3683.75+900+450+2340</f>
        <v>7373.75</v>
      </c>
      <c r="U88" s="121">
        <f>2000+450+900</f>
        <v>3350</v>
      </c>
      <c r="V88" s="116">
        <f t="shared" si="18"/>
        <v>20007.5</v>
      </c>
      <c r="W88" s="18">
        <f t="shared" si="19"/>
        <v>49990.65</v>
      </c>
      <c r="X88" s="54">
        <f t="shared" si="20"/>
        <v>6829.3499999999985</v>
      </c>
    </row>
    <row r="89" spans="1:24" ht="22.5" x14ac:dyDescent="0.2">
      <c r="A89" s="78">
        <v>187</v>
      </c>
      <c r="B89" s="79" t="s">
        <v>146</v>
      </c>
      <c r="C89" s="5"/>
      <c r="D89" s="5"/>
      <c r="E89" s="5"/>
      <c r="F89" s="5"/>
      <c r="G89" s="18">
        <f t="shared" si="15"/>
        <v>0</v>
      </c>
      <c r="H89" s="59"/>
      <c r="I89" s="88"/>
      <c r="J89" s="59"/>
      <c r="K89" s="59"/>
      <c r="L89" s="59">
        <f t="shared" si="16"/>
        <v>0</v>
      </c>
      <c r="M89" s="15"/>
      <c r="N89" s="59"/>
      <c r="O89" s="59"/>
      <c r="P89" s="15"/>
      <c r="Q89" s="59">
        <f t="shared" si="17"/>
        <v>0</v>
      </c>
      <c r="R89" s="15"/>
      <c r="S89" s="59"/>
      <c r="T89" s="59"/>
      <c r="U89" s="121"/>
      <c r="V89" s="116">
        <f t="shared" si="18"/>
        <v>0</v>
      </c>
      <c r="W89" s="18">
        <f t="shared" si="19"/>
        <v>0</v>
      </c>
      <c r="X89" s="54">
        <f t="shared" si="20"/>
        <v>0</v>
      </c>
    </row>
    <row r="90" spans="1:24" x14ac:dyDescent="0.2">
      <c r="A90" s="78">
        <v>189</v>
      </c>
      <c r="B90" s="79" t="s">
        <v>43</v>
      </c>
      <c r="C90" s="5">
        <v>93234.94</v>
      </c>
      <c r="D90" s="5"/>
      <c r="E90" s="5"/>
      <c r="F90" s="5">
        <f>31000+10500</f>
        <v>41500</v>
      </c>
      <c r="G90" s="18">
        <f t="shared" si="15"/>
        <v>134734.94</v>
      </c>
      <c r="H90" s="59">
        <f>750+2500+1000</f>
        <v>4250</v>
      </c>
      <c r="I90" s="88">
        <f>14227.5+2500+2500</f>
        <v>19227.5</v>
      </c>
      <c r="J90" s="59">
        <f>2500+2000+1000+17984</f>
        <v>23484</v>
      </c>
      <c r="K90" s="59">
        <v>23445</v>
      </c>
      <c r="L90" s="59">
        <f t="shared" si="16"/>
        <v>70406.5</v>
      </c>
      <c r="M90" s="15">
        <f>20056+2500+2000+1975</f>
        <v>26531</v>
      </c>
      <c r="N90" s="59">
        <f>2500+2000</f>
        <v>4500</v>
      </c>
      <c r="O90" s="59">
        <f>2000+2500</f>
        <v>4500</v>
      </c>
      <c r="P90" s="15">
        <f>3000+2000</f>
        <v>5000</v>
      </c>
      <c r="Q90" s="59">
        <f t="shared" si="17"/>
        <v>40531</v>
      </c>
      <c r="R90" s="15">
        <f>18800+3000+2000</f>
        <v>23800</v>
      </c>
      <c r="S90" s="59">
        <f>11305.71+3000+2000</f>
        <v>16305.71</v>
      </c>
      <c r="T90" s="59">
        <f>16200+15946+2000+3000</f>
        <v>37146</v>
      </c>
      <c r="U90" s="121">
        <f>7000+500+16604+2000+3000</f>
        <v>29104</v>
      </c>
      <c r="V90" s="116">
        <f t="shared" si="18"/>
        <v>106355.70999999999</v>
      </c>
      <c r="W90" s="18">
        <f t="shared" si="19"/>
        <v>217293.21</v>
      </c>
      <c r="X90" s="54">
        <f t="shared" si="20"/>
        <v>-82558.26999999999</v>
      </c>
    </row>
    <row r="91" spans="1:24" ht="22.5" x14ac:dyDescent="0.2">
      <c r="A91" s="78">
        <v>191</v>
      </c>
      <c r="B91" s="79" t="s">
        <v>82</v>
      </c>
      <c r="C91" s="5">
        <v>2400</v>
      </c>
      <c r="D91" s="5"/>
      <c r="E91" s="5"/>
      <c r="F91" s="5">
        <f>1627.5+2929.5</f>
        <v>4557</v>
      </c>
      <c r="G91" s="18">
        <f t="shared" si="15"/>
        <v>6957</v>
      </c>
      <c r="H91" s="59"/>
      <c r="I91" s="88"/>
      <c r="J91" s="59"/>
      <c r="K91" s="59"/>
      <c r="L91" s="59">
        <f t="shared" si="16"/>
        <v>0</v>
      </c>
      <c r="M91" s="15"/>
      <c r="N91" s="59"/>
      <c r="O91" s="59"/>
      <c r="P91" s="15"/>
      <c r="Q91" s="59">
        <f t="shared" si="17"/>
        <v>0</v>
      </c>
      <c r="R91" s="15"/>
      <c r="S91" s="59">
        <v>3045.17</v>
      </c>
      <c r="T91" s="59"/>
      <c r="U91" s="121"/>
      <c r="V91" s="116">
        <f t="shared" si="18"/>
        <v>3045.17</v>
      </c>
      <c r="W91" s="18">
        <f t="shared" si="19"/>
        <v>3045.17</v>
      </c>
      <c r="X91" s="54">
        <f t="shared" si="20"/>
        <v>3911.83</v>
      </c>
    </row>
    <row r="92" spans="1:24" ht="22.5" x14ac:dyDescent="0.2">
      <c r="A92" s="78" t="s">
        <v>83</v>
      </c>
      <c r="B92" s="79" t="s">
        <v>84</v>
      </c>
      <c r="C92" s="5"/>
      <c r="D92" s="5"/>
      <c r="E92" s="5"/>
      <c r="F92" s="5"/>
      <c r="G92" s="18">
        <f t="shared" si="15"/>
        <v>0</v>
      </c>
      <c r="H92" s="59"/>
      <c r="I92" s="88"/>
      <c r="J92" s="59"/>
      <c r="K92" s="59"/>
      <c r="L92" s="59">
        <f t="shared" si="16"/>
        <v>0</v>
      </c>
      <c r="M92" s="15"/>
      <c r="N92" s="59"/>
      <c r="O92" s="59"/>
      <c r="P92" s="15"/>
      <c r="Q92" s="59">
        <f t="shared" si="17"/>
        <v>0</v>
      </c>
      <c r="R92" s="15"/>
      <c r="S92" s="59"/>
      <c r="T92" s="59"/>
      <c r="U92" s="121"/>
      <c r="V92" s="116">
        <f t="shared" si="18"/>
        <v>0</v>
      </c>
      <c r="W92" s="18">
        <f t="shared" si="19"/>
        <v>0</v>
      </c>
      <c r="X92" s="54">
        <f t="shared" si="20"/>
        <v>0</v>
      </c>
    </row>
    <row r="93" spans="1:24" x14ac:dyDescent="0.2">
      <c r="A93" s="78">
        <f>195</f>
        <v>195</v>
      </c>
      <c r="B93" s="79" t="s">
        <v>85</v>
      </c>
      <c r="C93" s="5">
        <v>28767.7</v>
      </c>
      <c r="D93" s="5"/>
      <c r="E93" s="5">
        <v>25000</v>
      </c>
      <c r="F93" s="5"/>
      <c r="G93" s="18">
        <f t="shared" si="15"/>
        <v>3767.7000000000007</v>
      </c>
      <c r="H93" s="59"/>
      <c r="I93" s="88">
        <v>4.21</v>
      </c>
      <c r="J93" s="59"/>
      <c r="K93" s="59"/>
      <c r="L93" s="59">
        <f t="shared" si="16"/>
        <v>4.21</v>
      </c>
      <c r="M93" s="15"/>
      <c r="N93" s="59"/>
      <c r="O93" s="59">
        <v>27.54</v>
      </c>
      <c r="P93" s="15">
        <v>41.88</v>
      </c>
      <c r="Q93" s="59">
        <f t="shared" si="17"/>
        <v>69.42</v>
      </c>
      <c r="R93" s="15">
        <v>44.42</v>
      </c>
      <c r="S93" s="59"/>
      <c r="T93" s="59">
        <v>11.24</v>
      </c>
      <c r="U93" s="121">
        <v>14.65</v>
      </c>
      <c r="V93" s="116">
        <f t="shared" si="18"/>
        <v>70.31</v>
      </c>
      <c r="W93" s="18">
        <f t="shared" si="19"/>
        <v>143.94</v>
      </c>
      <c r="X93" s="54">
        <f t="shared" si="20"/>
        <v>3623.7600000000007</v>
      </c>
    </row>
    <row r="94" spans="1:24" ht="22.5" x14ac:dyDescent="0.2">
      <c r="A94" s="78">
        <v>196</v>
      </c>
      <c r="B94" s="79" t="s">
        <v>44</v>
      </c>
      <c r="C94" s="5"/>
      <c r="D94" s="5"/>
      <c r="E94" s="5"/>
      <c r="F94" s="5">
        <v>35000</v>
      </c>
      <c r="G94" s="18">
        <f t="shared" si="15"/>
        <v>35000</v>
      </c>
      <c r="H94" s="59"/>
      <c r="I94" s="88"/>
      <c r="J94" s="59"/>
      <c r="K94" s="59"/>
      <c r="L94" s="59">
        <f t="shared" si="16"/>
        <v>0</v>
      </c>
      <c r="M94" s="15"/>
      <c r="N94" s="59"/>
      <c r="O94" s="59"/>
      <c r="P94" s="15"/>
      <c r="Q94" s="59">
        <f t="shared" si="17"/>
        <v>0</v>
      </c>
      <c r="R94" s="15"/>
      <c r="S94" s="59"/>
      <c r="T94" s="59">
        <v>12800</v>
      </c>
      <c r="U94" s="121"/>
      <c r="V94" s="116">
        <f t="shared" si="18"/>
        <v>12800</v>
      </c>
      <c r="W94" s="18">
        <f t="shared" si="19"/>
        <v>12800</v>
      </c>
      <c r="X94" s="54">
        <f t="shared" si="20"/>
        <v>22200</v>
      </c>
    </row>
    <row r="95" spans="1:24" x14ac:dyDescent="0.2">
      <c r="A95" s="78">
        <v>197</v>
      </c>
      <c r="B95" s="79" t="s">
        <v>45</v>
      </c>
      <c r="C95" s="5">
        <v>4704</v>
      </c>
      <c r="D95" s="5"/>
      <c r="E95" s="5"/>
      <c r="F95" s="5">
        <v>5000</v>
      </c>
      <c r="G95" s="18">
        <f t="shared" si="15"/>
        <v>9704</v>
      </c>
      <c r="H95" s="59"/>
      <c r="I95" s="88">
        <f>775+582</f>
        <v>1357</v>
      </c>
      <c r="J95" s="59"/>
      <c r="K95" s="59"/>
      <c r="L95" s="59">
        <f t="shared" si="16"/>
        <v>1357</v>
      </c>
      <c r="M95" s="15">
        <v>1488</v>
      </c>
      <c r="N95" s="59"/>
      <c r="O95" s="59"/>
      <c r="P95" s="15"/>
      <c r="Q95" s="59">
        <f t="shared" si="17"/>
        <v>1488</v>
      </c>
      <c r="R95" s="15"/>
      <c r="S95" s="59"/>
      <c r="T95" s="59">
        <v>1000</v>
      </c>
      <c r="U95" s="121">
        <v>2950</v>
      </c>
      <c r="V95" s="116">
        <f t="shared" si="18"/>
        <v>3950</v>
      </c>
      <c r="W95" s="18">
        <f t="shared" si="19"/>
        <v>6795</v>
      </c>
      <c r="X95" s="54">
        <f t="shared" si="20"/>
        <v>2909</v>
      </c>
    </row>
    <row r="96" spans="1:24" ht="22.5" x14ac:dyDescent="0.2">
      <c r="A96" s="78">
        <v>199</v>
      </c>
      <c r="B96" s="84" t="s">
        <v>46</v>
      </c>
      <c r="C96" s="5"/>
      <c r="D96" s="5"/>
      <c r="E96" s="5"/>
      <c r="F96" s="5">
        <f>5500+10000</f>
        <v>15500</v>
      </c>
      <c r="G96" s="18">
        <f t="shared" si="15"/>
        <v>15500</v>
      </c>
      <c r="H96" s="59"/>
      <c r="I96" s="88">
        <v>1680</v>
      </c>
      <c r="J96" s="59"/>
      <c r="K96" s="59">
        <v>2380</v>
      </c>
      <c r="L96" s="59">
        <f t="shared" si="16"/>
        <v>4060</v>
      </c>
      <c r="M96" s="15">
        <v>203.87</v>
      </c>
      <c r="N96" s="59"/>
      <c r="O96" s="59"/>
      <c r="P96" s="15"/>
      <c r="Q96" s="59">
        <f t="shared" si="17"/>
        <v>203.87</v>
      </c>
      <c r="R96" s="15">
        <f>1950+5600+4575</f>
        <v>12125</v>
      </c>
      <c r="S96" s="59"/>
      <c r="T96" s="59">
        <f>225+5975</f>
        <v>6200</v>
      </c>
      <c r="U96" s="121">
        <f>5000+2600</f>
        <v>7600</v>
      </c>
      <c r="V96" s="116">
        <f t="shared" si="18"/>
        <v>25925</v>
      </c>
      <c r="W96" s="18">
        <f t="shared" si="19"/>
        <v>30188.87</v>
      </c>
      <c r="X96" s="54">
        <f t="shared" si="20"/>
        <v>-14688.869999999999</v>
      </c>
    </row>
    <row r="97" spans="1:24" x14ac:dyDescent="0.2">
      <c r="A97" s="78" t="s">
        <v>86</v>
      </c>
      <c r="B97" s="79" t="s">
        <v>47</v>
      </c>
      <c r="C97" s="5"/>
      <c r="D97" s="5"/>
      <c r="E97" s="5"/>
      <c r="F97" s="5"/>
      <c r="G97" s="18">
        <f t="shared" si="15"/>
        <v>0</v>
      </c>
      <c r="H97" s="59"/>
      <c r="I97" s="88"/>
      <c r="J97" s="59"/>
      <c r="K97" s="59"/>
      <c r="L97" s="59">
        <f t="shared" si="16"/>
        <v>0</v>
      </c>
      <c r="M97" s="59"/>
      <c r="N97" s="59"/>
      <c r="O97" s="59"/>
      <c r="P97" s="15"/>
      <c r="Q97" s="59">
        <f t="shared" si="17"/>
        <v>0</v>
      </c>
      <c r="R97" s="15"/>
      <c r="S97" s="59"/>
      <c r="T97" s="59"/>
      <c r="U97" s="122"/>
      <c r="V97" s="116">
        <f t="shared" si="18"/>
        <v>0</v>
      </c>
      <c r="W97" s="18">
        <f t="shared" si="19"/>
        <v>0</v>
      </c>
      <c r="X97" s="54">
        <f t="shared" si="20"/>
        <v>0</v>
      </c>
    </row>
    <row r="98" spans="1:24" x14ac:dyDescent="0.2">
      <c r="A98" s="78">
        <v>211</v>
      </c>
      <c r="B98" s="79" t="s">
        <v>48</v>
      </c>
      <c r="C98" s="5">
        <v>6700</v>
      </c>
      <c r="D98" s="5"/>
      <c r="E98" s="5"/>
      <c r="F98" s="5">
        <f>2500+15000</f>
        <v>17500</v>
      </c>
      <c r="G98" s="18">
        <f t="shared" si="15"/>
        <v>24200</v>
      </c>
      <c r="H98" s="59">
        <v>2500</v>
      </c>
      <c r="I98" s="88">
        <v>2111.63</v>
      </c>
      <c r="J98" s="59"/>
      <c r="K98" s="59"/>
      <c r="L98" s="59">
        <f t="shared" si="16"/>
        <v>4611.63</v>
      </c>
      <c r="M98" s="15">
        <v>4046.8</v>
      </c>
      <c r="N98" s="59"/>
      <c r="O98" s="59"/>
      <c r="P98" s="15"/>
      <c r="Q98" s="59">
        <f t="shared" si="17"/>
        <v>4046.8</v>
      </c>
      <c r="R98" s="15"/>
      <c r="S98" s="59"/>
      <c r="T98" s="59">
        <v>13600</v>
      </c>
      <c r="U98" s="121">
        <f>3600+1000</f>
        <v>4600</v>
      </c>
      <c r="V98" s="116">
        <f t="shared" si="18"/>
        <v>18200</v>
      </c>
      <c r="W98" s="18">
        <f t="shared" si="19"/>
        <v>26858.43</v>
      </c>
      <c r="X98" s="54">
        <f t="shared" si="20"/>
        <v>-2658.4300000000003</v>
      </c>
    </row>
    <row r="99" spans="1:24" ht="22.5" x14ac:dyDescent="0.2">
      <c r="A99" s="78" t="s">
        <v>87</v>
      </c>
      <c r="B99" s="79" t="s">
        <v>49</v>
      </c>
      <c r="C99" s="5">
        <v>12000</v>
      </c>
      <c r="D99" s="5">
        <f>25000+30000</f>
        <v>55000</v>
      </c>
      <c r="E99" s="5"/>
      <c r="F99" s="5">
        <v>25000</v>
      </c>
      <c r="G99" s="18">
        <f t="shared" si="15"/>
        <v>92000</v>
      </c>
      <c r="H99" s="59">
        <v>9500</v>
      </c>
      <c r="I99" s="88">
        <f>4800+10480+20240</f>
        <v>35520</v>
      </c>
      <c r="J99" s="59">
        <v>8750</v>
      </c>
      <c r="K99" s="59">
        <v>12060</v>
      </c>
      <c r="L99" s="59">
        <f t="shared" si="16"/>
        <v>65830</v>
      </c>
      <c r="M99" s="15"/>
      <c r="N99" s="59"/>
      <c r="O99" s="59">
        <v>1040</v>
      </c>
      <c r="P99" s="15"/>
      <c r="Q99" s="59">
        <f t="shared" si="17"/>
        <v>1040</v>
      </c>
      <c r="R99" s="15"/>
      <c r="S99" s="59"/>
      <c r="T99" s="59"/>
      <c r="U99" s="121">
        <f>10400+13000</f>
        <v>23400</v>
      </c>
      <c r="V99" s="116">
        <f t="shared" si="18"/>
        <v>23400</v>
      </c>
      <c r="W99" s="18">
        <f t="shared" si="19"/>
        <v>90270</v>
      </c>
      <c r="X99" s="54">
        <f t="shared" si="20"/>
        <v>1730</v>
      </c>
    </row>
    <row r="100" spans="1:24" x14ac:dyDescent="0.2">
      <c r="A100" s="78" t="s">
        <v>88</v>
      </c>
      <c r="B100" s="79" t="s">
        <v>50</v>
      </c>
      <c r="C100" s="5">
        <v>3500</v>
      </c>
      <c r="D100" s="5"/>
      <c r="E100" s="5"/>
      <c r="F100" s="5"/>
      <c r="G100" s="18">
        <f t="shared" si="15"/>
        <v>3500</v>
      </c>
      <c r="H100" s="59">
        <v>400</v>
      </c>
      <c r="I100" s="88"/>
      <c r="J100" s="59"/>
      <c r="K100" s="59"/>
      <c r="L100" s="59">
        <f t="shared" si="16"/>
        <v>400</v>
      </c>
      <c r="M100" s="15">
        <v>76.8</v>
      </c>
      <c r="N100" s="59"/>
      <c r="O100" s="59">
        <v>178.5</v>
      </c>
      <c r="P100" s="15"/>
      <c r="Q100" s="59">
        <f t="shared" si="17"/>
        <v>255.3</v>
      </c>
      <c r="R100" s="15"/>
      <c r="S100" s="59">
        <v>76.3</v>
      </c>
      <c r="T100" s="59"/>
      <c r="U100" s="121"/>
      <c r="V100" s="116">
        <f t="shared" si="18"/>
        <v>76.3</v>
      </c>
      <c r="W100" s="18">
        <f t="shared" si="19"/>
        <v>731.59999999999991</v>
      </c>
      <c r="X100" s="54">
        <f t="shared" si="20"/>
        <v>2768.4</v>
      </c>
    </row>
    <row r="101" spans="1:24" ht="22.5" x14ac:dyDescent="0.2">
      <c r="A101" s="78" t="s">
        <v>89</v>
      </c>
      <c r="B101" s="79" t="s">
        <v>51</v>
      </c>
      <c r="C101" s="5"/>
      <c r="D101" s="5">
        <v>500</v>
      </c>
      <c r="E101" s="5"/>
      <c r="F101" s="5"/>
      <c r="G101" s="18">
        <f t="shared" si="15"/>
        <v>500</v>
      </c>
      <c r="H101" s="59"/>
      <c r="I101" s="88"/>
      <c r="J101" s="59">
        <v>348.6</v>
      </c>
      <c r="K101" s="59"/>
      <c r="L101" s="59">
        <f t="shared" si="16"/>
        <v>348.6</v>
      </c>
      <c r="M101" s="15"/>
      <c r="N101" s="59"/>
      <c r="O101" s="59"/>
      <c r="P101" s="15"/>
      <c r="Q101" s="59">
        <f t="shared" si="17"/>
        <v>0</v>
      </c>
      <c r="R101" s="15"/>
      <c r="S101" s="59"/>
      <c r="T101" s="59"/>
      <c r="U101" s="121"/>
      <c r="V101" s="116">
        <f t="shared" si="18"/>
        <v>0</v>
      </c>
      <c r="W101" s="18">
        <f t="shared" si="19"/>
        <v>348.6</v>
      </c>
      <c r="X101" s="54">
        <f t="shared" si="20"/>
        <v>151.39999999999998</v>
      </c>
    </row>
    <row r="102" spans="1:24" x14ac:dyDescent="0.2">
      <c r="A102" s="78">
        <v>245</v>
      </c>
      <c r="B102" s="79" t="s">
        <v>114</v>
      </c>
      <c r="C102" s="5"/>
      <c r="D102" s="5"/>
      <c r="E102" s="5"/>
      <c r="F102" s="5"/>
      <c r="G102" s="18">
        <f t="shared" si="15"/>
        <v>0</v>
      </c>
      <c r="H102" s="59"/>
      <c r="I102" s="88"/>
      <c r="J102" s="59"/>
      <c r="K102" s="59"/>
      <c r="L102" s="59">
        <f t="shared" si="16"/>
        <v>0</v>
      </c>
      <c r="M102" s="15"/>
      <c r="N102" s="59"/>
      <c r="O102" s="59"/>
      <c r="P102" s="15"/>
      <c r="Q102" s="59">
        <f t="shared" si="17"/>
        <v>0</v>
      </c>
      <c r="R102" s="15"/>
      <c r="S102" s="59"/>
      <c r="T102" s="59"/>
      <c r="U102" s="121"/>
      <c r="V102" s="116">
        <f t="shared" si="18"/>
        <v>0</v>
      </c>
      <c r="W102" s="18">
        <f t="shared" si="19"/>
        <v>0</v>
      </c>
      <c r="X102" s="54">
        <f t="shared" si="20"/>
        <v>0</v>
      </c>
    </row>
    <row r="103" spans="1:24" x14ac:dyDescent="0.2">
      <c r="A103" s="78">
        <v>247</v>
      </c>
      <c r="B103" s="79" t="s">
        <v>52</v>
      </c>
      <c r="C103" s="5"/>
      <c r="D103" s="5"/>
      <c r="E103" s="5"/>
      <c r="F103" s="5">
        <v>3500</v>
      </c>
      <c r="G103" s="18">
        <f t="shared" si="15"/>
        <v>3500</v>
      </c>
      <c r="H103" s="59">
        <v>1000</v>
      </c>
      <c r="I103" s="88"/>
      <c r="J103" s="59">
        <v>2000</v>
      </c>
      <c r="K103" s="59"/>
      <c r="L103" s="59">
        <f t="shared" si="16"/>
        <v>3000</v>
      </c>
      <c r="M103" s="15"/>
      <c r="N103" s="59"/>
      <c r="O103" s="59">
        <f>220+110+66.6</f>
        <v>396.6</v>
      </c>
      <c r="P103" s="15"/>
      <c r="Q103" s="59">
        <f t="shared" si="17"/>
        <v>396.6</v>
      </c>
      <c r="R103" s="15"/>
      <c r="S103" s="59"/>
      <c r="T103" s="59"/>
      <c r="U103" s="121"/>
      <c r="V103" s="116">
        <f t="shared" si="18"/>
        <v>0</v>
      </c>
      <c r="W103" s="18">
        <f t="shared" si="19"/>
        <v>3396.6</v>
      </c>
      <c r="X103" s="54">
        <f t="shared" si="20"/>
        <v>103.40000000000009</v>
      </c>
    </row>
    <row r="104" spans="1:24" x14ac:dyDescent="0.2">
      <c r="A104" s="78">
        <v>249</v>
      </c>
      <c r="B104" s="85" t="s">
        <v>147</v>
      </c>
      <c r="C104" s="5"/>
      <c r="D104" s="5"/>
      <c r="E104" s="5"/>
      <c r="F104" s="5"/>
      <c r="G104" s="18">
        <f t="shared" si="15"/>
        <v>0</v>
      </c>
      <c r="H104" s="59"/>
      <c r="I104" s="88"/>
      <c r="J104" s="59"/>
      <c r="K104" s="59"/>
      <c r="L104" s="59">
        <f t="shared" si="16"/>
        <v>0</v>
      </c>
      <c r="M104" s="15"/>
      <c r="N104" s="59"/>
      <c r="O104" s="59"/>
      <c r="P104" s="15"/>
      <c r="Q104" s="59">
        <f t="shared" si="17"/>
        <v>0</v>
      </c>
      <c r="R104" s="15"/>
      <c r="S104" s="59"/>
      <c r="T104" s="59"/>
      <c r="U104" s="121"/>
      <c r="V104" s="116">
        <f t="shared" si="18"/>
        <v>0</v>
      </c>
      <c r="W104" s="18">
        <f t="shared" si="19"/>
        <v>0</v>
      </c>
      <c r="X104" s="54">
        <f t="shared" si="20"/>
        <v>0</v>
      </c>
    </row>
    <row r="105" spans="1:24" x14ac:dyDescent="0.2">
      <c r="A105" s="78">
        <v>262</v>
      </c>
      <c r="B105" s="79" t="s">
        <v>53</v>
      </c>
      <c r="C105" s="5"/>
      <c r="D105" s="5"/>
      <c r="E105" s="5"/>
      <c r="F105" s="5"/>
      <c r="G105" s="18">
        <f t="shared" si="15"/>
        <v>0</v>
      </c>
      <c r="H105" s="59"/>
      <c r="I105" s="88"/>
      <c r="J105" s="59"/>
      <c r="K105" s="59"/>
      <c r="L105" s="59">
        <f t="shared" si="16"/>
        <v>0</v>
      </c>
      <c r="M105" s="15"/>
      <c r="N105" s="59"/>
      <c r="O105" s="59"/>
      <c r="P105" s="15"/>
      <c r="Q105" s="59">
        <f t="shared" si="17"/>
        <v>0</v>
      </c>
      <c r="R105" s="15"/>
      <c r="S105" s="59"/>
      <c r="T105" s="59"/>
      <c r="U105" s="121"/>
      <c r="V105" s="116">
        <f t="shared" si="18"/>
        <v>0</v>
      </c>
      <c r="W105" s="18">
        <f t="shared" si="19"/>
        <v>0</v>
      </c>
      <c r="X105" s="54">
        <f t="shared" si="20"/>
        <v>0</v>
      </c>
    </row>
    <row r="106" spans="1:24" ht="22.5" x14ac:dyDescent="0.2">
      <c r="A106" s="78">
        <v>266</v>
      </c>
      <c r="B106" s="79" t="s">
        <v>54</v>
      </c>
      <c r="C106" s="5"/>
      <c r="D106" s="5"/>
      <c r="E106" s="5"/>
      <c r="F106" s="5"/>
      <c r="G106" s="18">
        <f t="shared" si="15"/>
        <v>0</v>
      </c>
      <c r="H106" s="59"/>
      <c r="I106" s="88"/>
      <c r="J106" s="59"/>
      <c r="K106" s="59"/>
      <c r="L106" s="59">
        <f t="shared" si="16"/>
        <v>0</v>
      </c>
      <c r="M106" s="15"/>
      <c r="N106" s="59"/>
      <c r="O106" s="59"/>
      <c r="P106" s="15"/>
      <c r="Q106" s="59">
        <f t="shared" si="17"/>
        <v>0</v>
      </c>
      <c r="R106" s="15"/>
      <c r="S106" s="59"/>
      <c r="T106" s="59"/>
      <c r="U106" s="121"/>
      <c r="V106" s="116">
        <f t="shared" si="18"/>
        <v>0</v>
      </c>
      <c r="W106" s="18">
        <f t="shared" si="19"/>
        <v>0</v>
      </c>
      <c r="X106" s="54">
        <f t="shared" si="20"/>
        <v>0</v>
      </c>
    </row>
    <row r="107" spans="1:24" ht="22.5" x14ac:dyDescent="0.2">
      <c r="A107" s="78" t="s">
        <v>90</v>
      </c>
      <c r="B107" s="79" t="s">
        <v>55</v>
      </c>
      <c r="C107" s="5"/>
      <c r="D107" s="5"/>
      <c r="E107" s="5"/>
      <c r="F107" s="5"/>
      <c r="G107" s="18">
        <f t="shared" si="15"/>
        <v>0</v>
      </c>
      <c r="H107" s="59"/>
      <c r="I107" s="88"/>
      <c r="J107" s="59"/>
      <c r="K107" s="59"/>
      <c r="L107" s="59">
        <f t="shared" si="16"/>
        <v>0</v>
      </c>
      <c r="M107" s="15"/>
      <c r="N107" s="59"/>
      <c r="O107" s="59"/>
      <c r="P107" s="15"/>
      <c r="Q107" s="59">
        <f t="shared" si="17"/>
        <v>0</v>
      </c>
      <c r="R107" s="15"/>
      <c r="S107" s="59"/>
      <c r="T107" s="59"/>
      <c r="U107" s="121"/>
      <c r="V107" s="116">
        <f t="shared" si="18"/>
        <v>0</v>
      </c>
      <c r="W107" s="18">
        <f t="shared" si="19"/>
        <v>0</v>
      </c>
      <c r="X107" s="54">
        <f t="shared" si="20"/>
        <v>0</v>
      </c>
    </row>
    <row r="108" spans="1:24" ht="22.5" x14ac:dyDescent="0.2">
      <c r="A108" s="78">
        <v>268</v>
      </c>
      <c r="B108" s="45" t="s">
        <v>56</v>
      </c>
      <c r="C108" s="18">
        <v>5500</v>
      </c>
      <c r="D108" s="18"/>
      <c r="E108" s="18"/>
      <c r="F108" s="18"/>
      <c r="G108" s="18">
        <f t="shared" si="15"/>
        <v>5500</v>
      </c>
      <c r="H108" s="15"/>
      <c r="I108" s="89"/>
      <c r="J108" s="59">
        <v>1710.32</v>
      </c>
      <c r="K108" s="59"/>
      <c r="L108" s="59">
        <f t="shared" si="16"/>
        <v>1710.32</v>
      </c>
      <c r="M108" s="15">
        <v>348.19</v>
      </c>
      <c r="N108" s="59"/>
      <c r="O108" s="59">
        <v>317.5</v>
      </c>
      <c r="P108" s="15"/>
      <c r="Q108" s="59">
        <f t="shared" si="17"/>
        <v>665.69</v>
      </c>
      <c r="R108" s="15"/>
      <c r="S108" s="59"/>
      <c r="T108" s="59"/>
      <c r="U108" s="121"/>
      <c r="V108" s="116">
        <f t="shared" si="18"/>
        <v>0</v>
      </c>
      <c r="W108" s="18">
        <f t="shared" si="19"/>
        <v>2376.0100000000002</v>
      </c>
      <c r="X108" s="54">
        <f t="shared" si="20"/>
        <v>3123.99</v>
      </c>
    </row>
    <row r="109" spans="1:24" ht="27" customHeight="1" x14ac:dyDescent="0.2">
      <c r="A109" s="78">
        <v>283</v>
      </c>
      <c r="B109" s="79" t="s">
        <v>57</v>
      </c>
      <c r="C109" s="5"/>
      <c r="D109" s="5"/>
      <c r="E109" s="5"/>
      <c r="F109" s="5"/>
      <c r="G109" s="18">
        <f t="shared" si="15"/>
        <v>0</v>
      </c>
      <c r="H109" s="59"/>
      <c r="I109" s="88"/>
      <c r="J109" s="59"/>
      <c r="K109" s="59"/>
      <c r="L109" s="59">
        <f t="shared" si="16"/>
        <v>0</v>
      </c>
      <c r="M109" s="15"/>
      <c r="N109" s="59"/>
      <c r="O109" s="59"/>
      <c r="P109" s="15"/>
      <c r="Q109" s="59">
        <f t="shared" si="17"/>
        <v>0</v>
      </c>
      <c r="R109" s="15"/>
      <c r="S109" s="59"/>
      <c r="T109" s="59"/>
      <c r="U109" s="121"/>
      <c r="V109" s="116">
        <f t="shared" si="18"/>
        <v>0</v>
      </c>
      <c r="W109" s="18">
        <f t="shared" si="19"/>
        <v>0</v>
      </c>
      <c r="X109" s="54">
        <f t="shared" si="20"/>
        <v>0</v>
      </c>
    </row>
    <row r="110" spans="1:24" ht="23.25" customHeight="1" x14ac:dyDescent="0.2">
      <c r="A110" s="78" t="s">
        <v>91</v>
      </c>
      <c r="B110" s="79" t="s">
        <v>58</v>
      </c>
      <c r="C110" s="5">
        <v>1500</v>
      </c>
      <c r="D110" s="5"/>
      <c r="E110" s="5"/>
      <c r="F110" s="5"/>
      <c r="G110" s="18">
        <f t="shared" si="15"/>
        <v>1500</v>
      </c>
      <c r="H110" s="59"/>
      <c r="I110" s="88"/>
      <c r="J110" s="59"/>
      <c r="K110" s="59"/>
      <c r="L110" s="59">
        <f t="shared" si="16"/>
        <v>0</v>
      </c>
      <c r="M110" s="15"/>
      <c r="N110" s="59"/>
      <c r="O110" s="59"/>
      <c r="P110" s="15"/>
      <c r="Q110" s="59">
        <f t="shared" si="17"/>
        <v>0</v>
      </c>
      <c r="R110" s="15"/>
      <c r="S110" s="59">
        <v>270.83999999999997</v>
      </c>
      <c r="T110" s="15"/>
      <c r="U110" s="121"/>
      <c r="V110" s="116">
        <f t="shared" si="18"/>
        <v>270.83999999999997</v>
      </c>
      <c r="W110" s="18">
        <f t="shared" si="19"/>
        <v>270.83999999999997</v>
      </c>
      <c r="X110" s="54">
        <f t="shared" si="20"/>
        <v>1229.1600000000001</v>
      </c>
    </row>
    <row r="111" spans="1:24" ht="22.5" x14ac:dyDescent="0.2">
      <c r="A111" s="78" t="s">
        <v>92</v>
      </c>
      <c r="B111" s="45" t="s">
        <v>59</v>
      </c>
      <c r="C111" s="18">
        <v>4800</v>
      </c>
      <c r="D111" s="18"/>
      <c r="E111" s="18"/>
      <c r="F111" s="18"/>
      <c r="G111" s="18">
        <f t="shared" si="15"/>
        <v>4800</v>
      </c>
      <c r="H111" s="15"/>
      <c r="I111" s="89"/>
      <c r="J111" s="59">
        <v>166</v>
      </c>
      <c r="K111" s="59"/>
      <c r="L111" s="59">
        <f t="shared" si="16"/>
        <v>166</v>
      </c>
      <c r="M111" s="15">
        <v>76.349999999999994</v>
      </c>
      <c r="N111" s="59"/>
      <c r="O111" s="59"/>
      <c r="P111" s="15"/>
      <c r="Q111" s="59">
        <f t="shared" si="17"/>
        <v>76.349999999999994</v>
      </c>
      <c r="R111" s="15"/>
      <c r="S111" s="59"/>
      <c r="T111" s="59"/>
      <c r="U111" s="121"/>
      <c r="V111" s="116">
        <f t="shared" si="18"/>
        <v>0</v>
      </c>
      <c r="W111" s="18">
        <f t="shared" si="19"/>
        <v>242.35</v>
      </c>
      <c r="X111" s="54">
        <f t="shared" si="20"/>
        <v>4557.6499999999996</v>
      </c>
    </row>
    <row r="112" spans="1:24" ht="22.5" x14ac:dyDescent="0.2">
      <c r="A112" s="78">
        <v>294</v>
      </c>
      <c r="B112" s="45" t="s">
        <v>60</v>
      </c>
      <c r="C112" s="18"/>
      <c r="D112" s="18">
        <f>60000+20500</f>
        <v>80500</v>
      </c>
      <c r="E112" s="18"/>
      <c r="F112" s="18">
        <f>995+25000</f>
        <v>25995</v>
      </c>
      <c r="G112" s="18">
        <f t="shared" si="15"/>
        <v>106495</v>
      </c>
      <c r="H112" s="15"/>
      <c r="I112" s="89">
        <f>4264+13008</f>
        <v>17272</v>
      </c>
      <c r="J112" s="59">
        <v>32390.400000000001</v>
      </c>
      <c r="K112" s="59"/>
      <c r="L112" s="59">
        <f t="shared" si="16"/>
        <v>49662.400000000001</v>
      </c>
      <c r="M112" s="15">
        <v>33619.599999999999</v>
      </c>
      <c r="N112" s="59"/>
      <c r="O112" s="59"/>
      <c r="P112" s="15"/>
      <c r="Q112" s="59">
        <f t="shared" si="17"/>
        <v>33619.599999999999</v>
      </c>
      <c r="R112" s="15">
        <v>16819.52</v>
      </c>
      <c r="S112" s="59">
        <v>16800.080000000002</v>
      </c>
      <c r="T112" s="59">
        <v>16792.240000000002</v>
      </c>
      <c r="U112" s="121">
        <f>21060+16827.2</f>
        <v>37887.199999999997</v>
      </c>
      <c r="V112" s="116">
        <f t="shared" si="18"/>
        <v>88299.040000000008</v>
      </c>
      <c r="W112" s="18">
        <f t="shared" si="19"/>
        <v>171581.04</v>
      </c>
      <c r="X112" s="54">
        <f t="shared" si="20"/>
        <v>-65086.040000000008</v>
      </c>
    </row>
    <row r="113" spans="1:24" ht="22.5" x14ac:dyDescent="0.2">
      <c r="A113" s="78">
        <v>297</v>
      </c>
      <c r="B113" s="45" t="s">
        <v>154</v>
      </c>
      <c r="C113" s="18"/>
      <c r="D113" s="18"/>
      <c r="E113" s="18"/>
      <c r="F113" s="18"/>
      <c r="G113" s="18"/>
      <c r="H113" s="15"/>
      <c r="I113" s="89"/>
      <c r="J113" s="59"/>
      <c r="K113" s="59"/>
      <c r="L113" s="59"/>
      <c r="M113" s="15">
        <v>47.99</v>
      </c>
      <c r="N113" s="59"/>
      <c r="O113" s="59"/>
      <c r="P113" s="15"/>
      <c r="Q113" s="59">
        <f t="shared" si="17"/>
        <v>47.99</v>
      </c>
      <c r="R113" s="15"/>
      <c r="S113" s="59"/>
      <c r="T113" s="59">
        <v>459.2</v>
      </c>
      <c r="U113" s="121"/>
      <c r="V113" s="116">
        <f t="shared" si="18"/>
        <v>459.2</v>
      </c>
      <c r="W113" s="18">
        <f t="shared" si="19"/>
        <v>507.19</v>
      </c>
      <c r="X113" s="54">
        <f t="shared" si="20"/>
        <v>-507.19</v>
      </c>
    </row>
    <row r="114" spans="1:24" ht="22.5" x14ac:dyDescent="0.2">
      <c r="A114" s="78" t="s">
        <v>93</v>
      </c>
      <c r="B114" s="45" t="s">
        <v>61</v>
      </c>
      <c r="C114" s="18">
        <v>6000</v>
      </c>
      <c r="D114" s="18"/>
      <c r="E114" s="18"/>
      <c r="F114" s="18"/>
      <c r="G114" s="18">
        <f t="shared" si="15"/>
        <v>6000</v>
      </c>
      <c r="H114" s="15"/>
      <c r="I114" s="89"/>
      <c r="J114" s="59">
        <v>730</v>
      </c>
      <c r="K114" s="59"/>
      <c r="L114" s="59">
        <f t="shared" si="16"/>
        <v>730</v>
      </c>
      <c r="M114" s="15"/>
      <c r="N114" s="59"/>
      <c r="O114" s="59"/>
      <c r="P114" s="15"/>
      <c r="Q114" s="59">
        <f t="shared" si="17"/>
        <v>0</v>
      </c>
      <c r="R114" s="15"/>
      <c r="S114" s="59"/>
      <c r="T114" s="59"/>
      <c r="U114" s="121"/>
      <c r="V114" s="116">
        <f t="shared" si="18"/>
        <v>0</v>
      </c>
      <c r="W114" s="18">
        <f t="shared" si="19"/>
        <v>730</v>
      </c>
      <c r="X114" s="54">
        <f t="shared" si="20"/>
        <v>5270</v>
      </c>
    </row>
    <row r="115" spans="1:24" x14ac:dyDescent="0.2">
      <c r="A115" s="82" t="s">
        <v>94</v>
      </c>
      <c r="B115" s="83" t="s">
        <v>62</v>
      </c>
      <c r="C115" s="5"/>
      <c r="D115" s="5"/>
      <c r="E115" s="5"/>
      <c r="F115" s="5"/>
      <c r="G115" s="18">
        <f t="shared" si="15"/>
        <v>0</v>
      </c>
      <c r="H115" s="59"/>
      <c r="I115" s="88"/>
      <c r="J115" s="59"/>
      <c r="K115" s="59"/>
      <c r="L115" s="59">
        <f t="shared" si="16"/>
        <v>0</v>
      </c>
      <c r="M115" s="15"/>
      <c r="N115" s="59"/>
      <c r="O115" s="59"/>
      <c r="P115" s="15"/>
      <c r="Q115" s="59">
        <f t="shared" si="17"/>
        <v>0</v>
      </c>
      <c r="R115" s="15"/>
      <c r="S115" s="59"/>
      <c r="T115" s="59"/>
      <c r="U115" s="121"/>
      <c r="V115" s="116">
        <f t="shared" si="18"/>
        <v>0</v>
      </c>
      <c r="W115" s="18">
        <f t="shared" si="19"/>
        <v>0</v>
      </c>
      <c r="X115" s="54">
        <f t="shared" si="20"/>
        <v>0</v>
      </c>
    </row>
    <row r="116" spans="1:24" x14ac:dyDescent="0.2">
      <c r="A116" s="78">
        <v>322</v>
      </c>
      <c r="B116" s="79" t="s">
        <v>63</v>
      </c>
      <c r="C116" s="5">
        <v>2500</v>
      </c>
      <c r="D116" s="5"/>
      <c r="E116" s="5"/>
      <c r="F116" s="5"/>
      <c r="G116" s="18">
        <f t="shared" si="15"/>
        <v>2500</v>
      </c>
      <c r="H116" s="59"/>
      <c r="I116" s="88"/>
      <c r="J116" s="59"/>
      <c r="K116" s="59"/>
      <c r="L116" s="59">
        <f t="shared" si="16"/>
        <v>0</v>
      </c>
      <c r="M116" s="15"/>
      <c r="N116" s="59"/>
      <c r="O116" s="59"/>
      <c r="P116" s="15"/>
      <c r="Q116" s="59">
        <f t="shared" si="17"/>
        <v>0</v>
      </c>
      <c r="R116" s="15"/>
      <c r="S116" s="59">
        <v>848</v>
      </c>
      <c r="T116" s="59"/>
      <c r="U116" s="121"/>
      <c r="V116" s="116">
        <f t="shared" si="18"/>
        <v>848</v>
      </c>
      <c r="W116" s="18">
        <f t="shared" si="19"/>
        <v>848</v>
      </c>
      <c r="X116" s="54">
        <f t="shared" si="20"/>
        <v>1652</v>
      </c>
    </row>
    <row r="117" spans="1:24" ht="22.5" x14ac:dyDescent="0.2">
      <c r="A117" s="78">
        <v>324</v>
      </c>
      <c r="B117" s="79" t="s">
        <v>72</v>
      </c>
      <c r="C117" s="5"/>
      <c r="D117" s="5"/>
      <c r="E117" s="5"/>
      <c r="F117" s="5"/>
      <c r="G117" s="18">
        <f t="shared" si="15"/>
        <v>0</v>
      </c>
      <c r="H117" s="59"/>
      <c r="I117" s="88"/>
      <c r="J117" s="59"/>
      <c r="K117" s="59"/>
      <c r="L117" s="59">
        <f t="shared" si="16"/>
        <v>0</v>
      </c>
      <c r="M117" s="15"/>
      <c r="N117" s="59"/>
      <c r="O117" s="59"/>
      <c r="P117" s="15"/>
      <c r="Q117" s="59">
        <f t="shared" si="17"/>
        <v>0</v>
      </c>
      <c r="R117" s="15"/>
      <c r="S117" s="59"/>
      <c r="T117" s="59"/>
      <c r="U117" s="121"/>
      <c r="V117" s="116">
        <f t="shared" si="18"/>
        <v>0</v>
      </c>
      <c r="W117" s="18">
        <f t="shared" si="19"/>
        <v>0</v>
      </c>
      <c r="X117" s="54">
        <f t="shared" si="20"/>
        <v>0</v>
      </c>
    </row>
    <row r="118" spans="1:24" x14ac:dyDescent="0.2">
      <c r="A118" s="78">
        <v>328</v>
      </c>
      <c r="B118" s="79" t="s">
        <v>64</v>
      </c>
      <c r="C118" s="5"/>
      <c r="D118" s="5"/>
      <c r="E118" s="5"/>
      <c r="F118" s="5"/>
      <c r="G118" s="18">
        <f t="shared" si="15"/>
        <v>0</v>
      </c>
      <c r="H118" s="59"/>
      <c r="I118" s="88"/>
      <c r="J118" s="59"/>
      <c r="K118" s="59"/>
      <c r="L118" s="59">
        <f t="shared" si="16"/>
        <v>0</v>
      </c>
      <c r="M118" s="15"/>
      <c r="N118" s="59"/>
      <c r="O118" s="59"/>
      <c r="P118" s="15"/>
      <c r="Q118" s="59">
        <f t="shared" si="17"/>
        <v>0</v>
      </c>
      <c r="R118" s="15"/>
      <c r="S118" s="59">
        <v>6502</v>
      </c>
      <c r="T118" s="59"/>
      <c r="U118" s="121"/>
      <c r="V118" s="116">
        <f t="shared" si="18"/>
        <v>6502</v>
      </c>
      <c r="W118" s="18">
        <f t="shared" si="19"/>
        <v>6502</v>
      </c>
      <c r="X118" s="54">
        <f t="shared" ref="X118:X139" si="21">+G118-W118</f>
        <v>-6502</v>
      </c>
    </row>
    <row r="119" spans="1:24" x14ac:dyDescent="0.2">
      <c r="A119" s="82" t="s">
        <v>95</v>
      </c>
      <c r="B119" s="83" t="s">
        <v>65</v>
      </c>
      <c r="C119" s="5"/>
      <c r="D119" s="5"/>
      <c r="E119" s="5"/>
      <c r="F119" s="5"/>
      <c r="G119" s="18">
        <f t="shared" si="15"/>
        <v>0</v>
      </c>
      <c r="H119" s="59"/>
      <c r="I119" s="88"/>
      <c r="J119" s="59"/>
      <c r="K119" s="59"/>
      <c r="L119" s="59">
        <f t="shared" si="16"/>
        <v>0</v>
      </c>
      <c r="M119" s="15"/>
      <c r="N119" s="59"/>
      <c r="O119" s="59"/>
      <c r="P119" s="15"/>
      <c r="Q119" s="59">
        <f t="shared" si="17"/>
        <v>0</v>
      </c>
      <c r="R119" s="15"/>
      <c r="S119" s="59"/>
      <c r="T119" s="59"/>
      <c r="U119" s="121"/>
      <c r="V119" s="116">
        <f t="shared" si="18"/>
        <v>0</v>
      </c>
      <c r="W119" s="18">
        <f t="shared" si="19"/>
        <v>0</v>
      </c>
      <c r="X119" s="54">
        <f t="shared" si="21"/>
        <v>0</v>
      </c>
    </row>
    <row r="120" spans="1:24" x14ac:dyDescent="0.2">
      <c r="A120" s="78" t="s">
        <v>96</v>
      </c>
      <c r="B120" s="79" t="s">
        <v>66</v>
      </c>
      <c r="C120" s="5"/>
      <c r="D120" s="5"/>
      <c r="E120" s="5"/>
      <c r="F120" s="5"/>
      <c r="G120" s="18">
        <f t="shared" ref="G120:G139" si="22">+C120+D120-E120+F120</f>
        <v>0</v>
      </c>
      <c r="H120" s="59"/>
      <c r="I120" s="88"/>
      <c r="J120" s="59"/>
      <c r="K120" s="59"/>
      <c r="L120" s="59">
        <f t="shared" si="16"/>
        <v>0</v>
      </c>
      <c r="M120" s="15"/>
      <c r="N120" s="59"/>
      <c r="O120" s="59"/>
      <c r="P120" s="15"/>
      <c r="Q120" s="59">
        <f t="shared" ref="Q120:Q139" si="23">+M120+N120+O120+P120</f>
        <v>0</v>
      </c>
      <c r="R120" s="15"/>
      <c r="S120" s="59"/>
      <c r="T120" s="59"/>
      <c r="U120" s="121"/>
      <c r="V120" s="116">
        <f t="shared" ref="V120:V139" si="24">+R120+S120+T120+U120</f>
        <v>0</v>
      </c>
      <c r="W120" s="18">
        <f t="shared" ref="W120:W139" si="25">+L120+Q120+V120</f>
        <v>0</v>
      </c>
      <c r="X120" s="54">
        <f t="shared" si="21"/>
        <v>0</v>
      </c>
    </row>
    <row r="121" spans="1:24" ht="22.5" x14ac:dyDescent="0.2">
      <c r="A121" s="78">
        <v>415</v>
      </c>
      <c r="B121" s="79" t="s">
        <v>67</v>
      </c>
      <c r="C121" s="5"/>
      <c r="D121" s="5"/>
      <c r="E121" s="5"/>
      <c r="F121" s="5"/>
      <c r="G121" s="18">
        <f t="shared" si="22"/>
        <v>0</v>
      </c>
      <c r="H121" s="59"/>
      <c r="I121" s="88"/>
      <c r="J121" s="59"/>
      <c r="K121" s="59"/>
      <c r="L121" s="59">
        <f t="shared" ref="L121:L139" si="26">+H121+I121+J121+K121</f>
        <v>0</v>
      </c>
      <c r="M121" s="15"/>
      <c r="N121" s="59"/>
      <c r="O121" s="59"/>
      <c r="P121" s="15"/>
      <c r="Q121" s="59">
        <f t="shared" si="23"/>
        <v>0</v>
      </c>
      <c r="R121" s="15"/>
      <c r="S121" s="59"/>
      <c r="T121" s="59"/>
      <c r="U121" s="121"/>
      <c r="V121" s="116">
        <f t="shared" si="24"/>
        <v>0</v>
      </c>
      <c r="W121" s="18">
        <f t="shared" si="25"/>
        <v>0</v>
      </c>
      <c r="X121" s="54">
        <f t="shared" si="21"/>
        <v>0</v>
      </c>
    </row>
    <row r="122" spans="1:24" ht="22.5" x14ac:dyDescent="0.2">
      <c r="A122" s="78">
        <v>419</v>
      </c>
      <c r="B122" s="79" t="s">
        <v>68</v>
      </c>
      <c r="C122" s="5">
        <v>28000</v>
      </c>
      <c r="D122" s="5"/>
      <c r="E122" s="5"/>
      <c r="F122" s="5">
        <f>18785+580</f>
        <v>19365</v>
      </c>
      <c r="G122" s="18">
        <f t="shared" si="22"/>
        <v>47365</v>
      </c>
      <c r="H122" s="59"/>
      <c r="I122" s="88">
        <f>28961.52+862.1+1380+2300+2300+1380</f>
        <v>37183.619999999995</v>
      </c>
      <c r="J122" s="59"/>
      <c r="K122" s="59">
        <v>5404.2</v>
      </c>
      <c r="L122" s="59">
        <f t="shared" si="26"/>
        <v>42587.819999999992</v>
      </c>
      <c r="M122" s="15"/>
      <c r="N122" s="59">
        <v>2300</v>
      </c>
      <c r="O122" s="59">
        <v>1380</v>
      </c>
      <c r="P122" s="15"/>
      <c r="Q122" s="59">
        <f t="shared" si="23"/>
        <v>3680</v>
      </c>
      <c r="R122" s="15">
        <v>2300</v>
      </c>
      <c r="S122" s="59"/>
      <c r="T122" s="59">
        <f>862.1+1380+862.1+2300</f>
        <v>5404.2</v>
      </c>
      <c r="U122" s="121"/>
      <c r="V122" s="116">
        <f t="shared" si="24"/>
        <v>7704.2</v>
      </c>
      <c r="W122" s="18">
        <f t="shared" si="25"/>
        <v>53972.01999999999</v>
      </c>
      <c r="X122" s="54">
        <f t="shared" si="21"/>
        <v>-6607.0199999999895</v>
      </c>
    </row>
    <row r="123" spans="1:24" ht="33.75" x14ac:dyDescent="0.2">
      <c r="A123" s="78">
        <v>472</v>
      </c>
      <c r="B123" s="79" t="s">
        <v>69</v>
      </c>
      <c r="C123" s="5">
        <v>38400</v>
      </c>
      <c r="D123" s="5"/>
      <c r="E123" s="5"/>
      <c r="F123" s="5"/>
      <c r="G123" s="18">
        <f t="shared" si="22"/>
        <v>38400</v>
      </c>
      <c r="H123" s="59"/>
      <c r="I123" s="88"/>
      <c r="J123" s="59"/>
      <c r="K123" s="59">
        <v>4093.72</v>
      </c>
      <c r="L123" s="59">
        <f t="shared" si="26"/>
        <v>4093.72</v>
      </c>
      <c r="M123" s="15"/>
      <c r="N123" s="59">
        <f>11298.34</f>
        <v>11298.34</v>
      </c>
      <c r="O123" s="59">
        <v>1444.89</v>
      </c>
      <c r="P123" s="15">
        <f>4892.1+1321.37</f>
        <v>6213.47</v>
      </c>
      <c r="Q123" s="59">
        <f t="shared" si="23"/>
        <v>18956.7</v>
      </c>
      <c r="R123" s="15">
        <v>1346.48</v>
      </c>
      <c r="S123" s="15"/>
      <c r="T123" s="59">
        <v>1270.33</v>
      </c>
      <c r="U123" s="121"/>
      <c r="V123" s="116">
        <f t="shared" si="24"/>
        <v>2616.81</v>
      </c>
      <c r="W123" s="18">
        <f t="shared" si="25"/>
        <v>25667.230000000003</v>
      </c>
      <c r="X123" s="54">
        <f t="shared" si="21"/>
        <v>12732.769999999997</v>
      </c>
    </row>
    <row r="124" spans="1:24" ht="22.5" x14ac:dyDescent="0.2">
      <c r="A124" s="78"/>
      <c r="B124" s="79" t="s">
        <v>97</v>
      </c>
      <c r="C124" s="5"/>
      <c r="D124" s="5"/>
      <c r="E124" s="5"/>
      <c r="F124" s="5"/>
      <c r="G124" s="18">
        <f t="shared" si="22"/>
        <v>0</v>
      </c>
      <c r="H124" s="59"/>
      <c r="I124" s="88"/>
      <c r="J124" s="59"/>
      <c r="K124" s="59"/>
      <c r="L124" s="59">
        <f t="shared" si="26"/>
        <v>0</v>
      </c>
      <c r="M124" s="15">
        <v>1185.78</v>
      </c>
      <c r="N124" s="59">
        <v>193.2</v>
      </c>
      <c r="O124" s="59">
        <v>193.2</v>
      </c>
      <c r="P124" s="15">
        <v>193.2</v>
      </c>
      <c r="Q124" s="59">
        <f t="shared" si="23"/>
        <v>1765.38</v>
      </c>
      <c r="R124" s="15">
        <v>193.2</v>
      </c>
      <c r="S124" s="15">
        <v>193.2</v>
      </c>
      <c r="T124" s="59">
        <v>193.2</v>
      </c>
      <c r="U124" s="121">
        <v>193.2</v>
      </c>
      <c r="V124" s="116">
        <f t="shared" si="24"/>
        <v>772.8</v>
      </c>
      <c r="W124" s="18">
        <f t="shared" si="25"/>
        <v>2538.1800000000003</v>
      </c>
      <c r="X124" s="54">
        <f t="shared" si="21"/>
        <v>-2538.1800000000003</v>
      </c>
    </row>
    <row r="125" spans="1:24" ht="22.5" x14ac:dyDescent="0.2">
      <c r="A125" s="78"/>
      <c r="B125" s="79" t="s">
        <v>103</v>
      </c>
      <c r="C125" s="5">
        <v>0</v>
      </c>
      <c r="D125" s="5"/>
      <c r="E125" s="5"/>
      <c r="F125" s="5"/>
      <c r="G125" s="18">
        <f t="shared" si="22"/>
        <v>0</v>
      </c>
      <c r="H125" s="59">
        <v>808.28</v>
      </c>
      <c r="I125" s="88">
        <v>350</v>
      </c>
      <c r="J125" s="15">
        <v>598</v>
      </c>
      <c r="K125" s="59">
        <v>489.25</v>
      </c>
      <c r="L125" s="59">
        <f>+H125+I125+J125+K125</f>
        <v>2245.5299999999997</v>
      </c>
      <c r="M125" s="15">
        <v>489.25</v>
      </c>
      <c r="N125" s="59">
        <f>108.75+190.25+190.25</f>
        <v>489.25</v>
      </c>
      <c r="O125" s="59">
        <f>190.25+190.25+108.75</f>
        <v>489.25</v>
      </c>
      <c r="P125" s="15">
        <f>190.25+190.25+108.75</f>
        <v>489.25</v>
      </c>
      <c r="Q125" s="59">
        <f>+M125+N125+O125+P125</f>
        <v>1957</v>
      </c>
      <c r="R125" s="15">
        <v>489.25</v>
      </c>
      <c r="S125" s="15">
        <f>190.25+190.25+108.75+160.27+207.87</f>
        <v>857.39</v>
      </c>
      <c r="T125" s="59">
        <f>190.25+190.25+108.75+160.27+207.87</f>
        <v>857.39</v>
      </c>
      <c r="U125" s="121">
        <v>489.5</v>
      </c>
      <c r="V125" s="116">
        <f>+R125+S125+T125+U125</f>
        <v>2693.5299999999997</v>
      </c>
      <c r="W125" s="18">
        <f>+L125+Q125+V125</f>
        <v>6896.0599999999995</v>
      </c>
      <c r="X125" s="54">
        <f t="shared" si="21"/>
        <v>-6896.0599999999995</v>
      </c>
    </row>
    <row r="126" spans="1:24" x14ac:dyDescent="0.2">
      <c r="A126" s="78"/>
      <c r="B126" s="79" t="s">
        <v>104</v>
      </c>
      <c r="C126" s="5">
        <v>0</v>
      </c>
      <c r="D126" s="5"/>
      <c r="E126" s="5"/>
      <c r="F126" s="5"/>
      <c r="G126" s="18">
        <f t="shared" si="22"/>
        <v>0</v>
      </c>
      <c r="H126" s="64"/>
      <c r="I126" s="64"/>
      <c r="J126" s="64"/>
      <c r="K126" s="64"/>
      <c r="L126" s="59">
        <f>+H126+I126+J126+K126</f>
        <v>0</v>
      </c>
      <c r="M126" s="64"/>
      <c r="N126" s="64"/>
      <c r="O126" s="64"/>
      <c r="P126" s="64"/>
      <c r="Q126" s="59">
        <f>+M126+N126+O126+P126</f>
        <v>0</v>
      </c>
      <c r="R126" s="64"/>
      <c r="S126" s="15"/>
      <c r="T126" s="59"/>
      <c r="U126" s="121"/>
      <c r="V126" s="116">
        <f>+R126+S126+T126+U126</f>
        <v>0</v>
      </c>
      <c r="W126" s="18">
        <f>+L126+Q126+V126</f>
        <v>0</v>
      </c>
      <c r="X126" s="54">
        <f t="shared" si="21"/>
        <v>0</v>
      </c>
    </row>
    <row r="127" spans="1:24" x14ac:dyDescent="0.2">
      <c r="A127" s="78"/>
      <c r="B127" s="79" t="s">
        <v>105</v>
      </c>
      <c r="C127" s="5">
        <v>0</v>
      </c>
      <c r="D127" s="5"/>
      <c r="E127" s="5"/>
      <c r="F127" s="5"/>
      <c r="G127" s="18">
        <f t="shared" si="22"/>
        <v>0</v>
      </c>
      <c r="H127" s="59"/>
      <c r="I127" s="88"/>
      <c r="J127" s="15">
        <v>822.21</v>
      </c>
      <c r="K127" s="59"/>
      <c r="L127" s="59">
        <f t="shared" si="26"/>
        <v>822.21</v>
      </c>
      <c r="M127" s="15">
        <v>540.41999999999996</v>
      </c>
      <c r="N127" s="59"/>
      <c r="O127" s="59">
        <v>230</v>
      </c>
      <c r="P127" s="15">
        <v>138</v>
      </c>
      <c r="Q127" s="59">
        <f t="shared" si="23"/>
        <v>908.42</v>
      </c>
      <c r="R127" s="15"/>
      <c r="S127" s="15">
        <v>230</v>
      </c>
      <c r="T127" s="59"/>
      <c r="U127" s="121">
        <v>540.41999999999996</v>
      </c>
      <c r="V127" s="116">
        <f t="shared" si="24"/>
        <v>770.42</v>
      </c>
      <c r="W127" s="18">
        <f t="shared" si="25"/>
        <v>2501.0500000000002</v>
      </c>
      <c r="X127" s="54">
        <f t="shared" si="21"/>
        <v>-2501.0500000000002</v>
      </c>
    </row>
    <row r="128" spans="1:24" ht="22.5" x14ac:dyDescent="0.2">
      <c r="A128" s="78"/>
      <c r="B128" s="79" t="s">
        <v>106</v>
      </c>
      <c r="C128" s="5">
        <v>0</v>
      </c>
      <c r="D128" s="5"/>
      <c r="E128" s="5"/>
      <c r="F128" s="5"/>
      <c r="G128" s="18">
        <f t="shared" si="22"/>
        <v>0</v>
      </c>
      <c r="H128" s="59"/>
      <c r="I128" s="88"/>
      <c r="J128" s="15"/>
      <c r="K128" s="59"/>
      <c r="L128" s="59">
        <f t="shared" si="26"/>
        <v>0</v>
      </c>
      <c r="M128" s="15"/>
      <c r="N128" s="59"/>
      <c r="O128" s="59"/>
      <c r="P128" s="15"/>
      <c r="Q128" s="59">
        <f t="shared" si="23"/>
        <v>0</v>
      </c>
      <c r="R128" s="15"/>
      <c r="S128" s="15"/>
      <c r="T128" s="59"/>
      <c r="U128" s="121"/>
      <c r="V128" s="116">
        <f t="shared" si="24"/>
        <v>0</v>
      </c>
      <c r="W128" s="18">
        <f t="shared" si="25"/>
        <v>0</v>
      </c>
      <c r="X128" s="54">
        <f t="shared" si="21"/>
        <v>0</v>
      </c>
    </row>
    <row r="129" spans="1:24" x14ac:dyDescent="0.2">
      <c r="A129" s="78"/>
      <c r="B129" s="79" t="s">
        <v>107</v>
      </c>
      <c r="C129" s="5">
        <v>0</v>
      </c>
      <c r="D129" s="5"/>
      <c r="E129" s="5"/>
      <c r="F129" s="5"/>
      <c r="G129" s="18">
        <f t="shared" si="22"/>
        <v>0</v>
      </c>
      <c r="H129" s="59">
        <v>392.94</v>
      </c>
      <c r="I129" s="88">
        <v>-392.94</v>
      </c>
      <c r="J129" s="15"/>
      <c r="K129" s="64"/>
      <c r="L129" s="59">
        <f t="shared" si="26"/>
        <v>0</v>
      </c>
      <c r="M129" s="15"/>
      <c r="N129" s="59"/>
      <c r="O129" s="59"/>
      <c r="P129" s="15"/>
      <c r="Q129" s="59">
        <f t="shared" si="23"/>
        <v>0</v>
      </c>
      <c r="R129" s="15"/>
      <c r="S129" s="15"/>
      <c r="T129" s="59"/>
      <c r="U129" s="121"/>
      <c r="V129" s="116">
        <f t="shared" si="24"/>
        <v>0</v>
      </c>
      <c r="W129" s="18">
        <f t="shared" si="25"/>
        <v>0</v>
      </c>
      <c r="X129" s="54">
        <f t="shared" si="21"/>
        <v>0</v>
      </c>
    </row>
    <row r="130" spans="1:24" x14ac:dyDescent="0.2">
      <c r="A130" s="78"/>
      <c r="B130" s="79" t="s">
        <v>148</v>
      </c>
      <c r="C130" s="5">
        <v>0</v>
      </c>
      <c r="D130" s="5"/>
      <c r="E130" s="5"/>
      <c r="F130" s="5"/>
      <c r="G130" s="18">
        <f t="shared" si="22"/>
        <v>0</v>
      </c>
      <c r="H130" s="59"/>
      <c r="I130" s="88"/>
      <c r="J130" s="15"/>
      <c r="K130" s="59"/>
      <c r="L130" s="59">
        <f t="shared" si="26"/>
        <v>0</v>
      </c>
      <c r="M130" s="15"/>
      <c r="N130" s="59"/>
      <c r="O130" s="59"/>
      <c r="P130" s="15"/>
      <c r="Q130" s="59">
        <f t="shared" si="23"/>
        <v>0</v>
      </c>
      <c r="R130" s="15"/>
      <c r="S130" s="15"/>
      <c r="T130" s="59"/>
      <c r="U130" s="121"/>
      <c r="V130" s="116">
        <f t="shared" si="24"/>
        <v>0</v>
      </c>
      <c r="W130" s="18">
        <f t="shared" si="25"/>
        <v>0</v>
      </c>
      <c r="X130" s="54">
        <f t="shared" si="21"/>
        <v>0</v>
      </c>
    </row>
    <row r="131" spans="1:24" ht="15" x14ac:dyDescent="0.2">
      <c r="A131" s="78"/>
      <c r="B131" s="79" t="s">
        <v>115</v>
      </c>
      <c r="C131" s="5">
        <v>0</v>
      </c>
      <c r="D131" s="5"/>
      <c r="E131" s="5"/>
      <c r="F131" s="5"/>
      <c r="G131" s="18">
        <f t="shared" si="22"/>
        <v>0</v>
      </c>
      <c r="H131" s="59"/>
      <c r="I131" s="88"/>
      <c r="J131" s="90"/>
      <c r="K131" s="59"/>
      <c r="L131" s="59">
        <f t="shared" si="26"/>
        <v>0</v>
      </c>
      <c r="M131" s="15"/>
      <c r="N131" s="59"/>
      <c r="O131" s="59"/>
      <c r="P131" s="15"/>
      <c r="Q131" s="59">
        <f t="shared" si="23"/>
        <v>0</v>
      </c>
      <c r="R131" s="15"/>
      <c r="S131" s="15"/>
      <c r="T131" s="59"/>
      <c r="U131" s="121"/>
      <c r="V131" s="116">
        <f t="shared" si="24"/>
        <v>0</v>
      </c>
      <c r="W131" s="18">
        <f t="shared" si="25"/>
        <v>0</v>
      </c>
      <c r="X131" s="54">
        <f t="shared" si="21"/>
        <v>0</v>
      </c>
    </row>
    <row r="132" spans="1:24" x14ac:dyDescent="0.2">
      <c r="A132" s="78"/>
      <c r="B132" s="79" t="s">
        <v>155</v>
      </c>
      <c r="C132" s="5">
        <v>0</v>
      </c>
      <c r="D132" s="5"/>
      <c r="E132" s="5"/>
      <c r="F132" s="5"/>
      <c r="G132" s="18">
        <f t="shared" si="22"/>
        <v>0</v>
      </c>
      <c r="H132" s="59"/>
      <c r="I132" s="88"/>
      <c r="J132" s="59"/>
      <c r="K132" s="59"/>
      <c r="L132" s="59">
        <f t="shared" si="26"/>
        <v>0</v>
      </c>
      <c r="M132" s="15">
        <v>6073.8</v>
      </c>
      <c r="N132" s="59"/>
      <c r="O132" s="59"/>
      <c r="P132" s="15"/>
      <c r="Q132" s="59">
        <f t="shared" si="23"/>
        <v>6073.8</v>
      </c>
      <c r="R132" s="15"/>
      <c r="S132" s="15"/>
      <c r="T132" s="59"/>
      <c r="U132" s="121"/>
      <c r="V132" s="116">
        <f t="shared" si="24"/>
        <v>0</v>
      </c>
      <c r="W132" s="18">
        <f t="shared" si="25"/>
        <v>6073.8</v>
      </c>
      <c r="X132" s="54">
        <f t="shared" si="21"/>
        <v>-6073.8</v>
      </c>
    </row>
    <row r="133" spans="1:24" ht="22.5" x14ac:dyDescent="0.2">
      <c r="A133" s="78"/>
      <c r="B133" s="79" t="s">
        <v>123</v>
      </c>
      <c r="C133" s="5">
        <v>0</v>
      </c>
      <c r="D133" s="5"/>
      <c r="E133" s="5"/>
      <c r="F133" s="5"/>
      <c r="G133" s="18">
        <f t="shared" si="22"/>
        <v>0</v>
      </c>
      <c r="H133" s="59"/>
      <c r="I133" s="88"/>
      <c r="J133" s="59"/>
      <c r="K133" s="59"/>
      <c r="L133" s="59">
        <f t="shared" si="26"/>
        <v>0</v>
      </c>
      <c r="M133" s="15"/>
      <c r="N133" s="59"/>
      <c r="O133" s="59"/>
      <c r="P133" s="15"/>
      <c r="Q133" s="59">
        <f t="shared" si="23"/>
        <v>0</v>
      </c>
      <c r="R133" s="15"/>
      <c r="S133" s="15"/>
      <c r="T133" s="59">
        <v>84.62</v>
      </c>
      <c r="U133" s="121"/>
      <c r="V133" s="116">
        <f>+R133+S133+T133+U133</f>
        <v>84.62</v>
      </c>
      <c r="W133" s="18">
        <f t="shared" si="25"/>
        <v>84.62</v>
      </c>
      <c r="X133" s="54">
        <f t="shared" si="21"/>
        <v>-84.62</v>
      </c>
    </row>
    <row r="134" spans="1:24" ht="22.5" x14ac:dyDescent="0.2">
      <c r="A134" s="78"/>
      <c r="B134" s="79" t="s">
        <v>109</v>
      </c>
      <c r="C134" s="5">
        <v>0</v>
      </c>
      <c r="D134" s="5"/>
      <c r="E134" s="5"/>
      <c r="F134" s="5"/>
      <c r="G134" s="18">
        <f t="shared" si="22"/>
        <v>0</v>
      </c>
      <c r="H134" s="59"/>
      <c r="I134" s="88"/>
      <c r="J134" s="59"/>
      <c r="K134" s="59"/>
      <c r="L134" s="59">
        <f t="shared" si="26"/>
        <v>0</v>
      </c>
      <c r="M134" s="15"/>
      <c r="N134" s="59"/>
      <c r="O134" s="64"/>
      <c r="P134" s="15"/>
      <c r="Q134" s="59">
        <f t="shared" si="23"/>
        <v>0</v>
      </c>
      <c r="R134" s="15"/>
      <c r="S134" s="15"/>
      <c r="T134" s="59"/>
      <c r="U134" s="121">
        <v>11487.26</v>
      </c>
      <c r="V134" s="116">
        <f>+R134+S134+T134+U134</f>
        <v>11487.26</v>
      </c>
      <c r="W134" s="18">
        <f t="shared" si="25"/>
        <v>11487.26</v>
      </c>
      <c r="X134" s="54">
        <f t="shared" si="21"/>
        <v>-11487.26</v>
      </c>
    </row>
    <row r="135" spans="1:24" x14ac:dyDescent="0.2">
      <c r="A135" s="78"/>
      <c r="B135" s="79" t="s">
        <v>156</v>
      </c>
      <c r="C135" s="5"/>
      <c r="D135" s="5"/>
      <c r="E135" s="5"/>
      <c r="F135" s="5"/>
      <c r="G135" s="18">
        <f t="shared" si="22"/>
        <v>0</v>
      </c>
      <c r="H135" s="59"/>
      <c r="I135" s="88"/>
      <c r="J135" s="59"/>
      <c r="K135" s="59"/>
      <c r="L135" s="59"/>
      <c r="M135" s="15"/>
      <c r="N135" s="59">
        <v>10080</v>
      </c>
      <c r="O135" s="59">
        <v>1379.2</v>
      </c>
      <c r="P135" s="15"/>
      <c r="Q135" s="59">
        <f t="shared" si="23"/>
        <v>11459.2</v>
      </c>
      <c r="R135" s="15"/>
      <c r="S135" s="15"/>
      <c r="T135" s="59"/>
      <c r="U135" s="121">
        <v>4982</v>
      </c>
      <c r="V135" s="116">
        <f t="shared" si="24"/>
        <v>4982</v>
      </c>
      <c r="W135" s="18">
        <f t="shared" si="25"/>
        <v>16441.2</v>
      </c>
      <c r="X135" s="54">
        <f t="shared" si="21"/>
        <v>-16441.2</v>
      </c>
    </row>
    <row r="136" spans="1:24" x14ac:dyDescent="0.2">
      <c r="A136" s="78"/>
      <c r="B136" s="79" t="s">
        <v>149</v>
      </c>
      <c r="C136" s="5">
        <v>0</v>
      </c>
      <c r="D136" s="5"/>
      <c r="E136" s="5"/>
      <c r="F136" s="5"/>
      <c r="G136" s="18">
        <f t="shared" si="22"/>
        <v>0</v>
      </c>
      <c r="H136" s="59"/>
      <c r="I136" s="88"/>
      <c r="J136" s="59"/>
      <c r="K136" s="59"/>
      <c r="L136" s="59">
        <f t="shared" si="26"/>
        <v>0</v>
      </c>
      <c r="M136" s="15"/>
      <c r="N136" s="59"/>
      <c r="O136" s="59"/>
      <c r="P136" s="64"/>
      <c r="Q136" s="59">
        <f t="shared" si="23"/>
        <v>0</v>
      </c>
      <c r="R136" s="15"/>
      <c r="S136" s="64"/>
      <c r="T136" s="59"/>
      <c r="U136" s="121"/>
      <c r="V136" s="116">
        <f>+R136+R136+T136+U136</f>
        <v>0</v>
      </c>
      <c r="W136" s="18">
        <f t="shared" si="25"/>
        <v>0</v>
      </c>
      <c r="X136" s="54">
        <f t="shared" si="21"/>
        <v>0</v>
      </c>
    </row>
    <row r="137" spans="1:24" x14ac:dyDescent="0.2">
      <c r="A137" s="78"/>
      <c r="B137" s="79" t="s">
        <v>110</v>
      </c>
      <c r="C137" s="5">
        <v>0</v>
      </c>
      <c r="D137" s="5"/>
      <c r="E137" s="5"/>
      <c r="F137" s="5"/>
      <c r="G137" s="18">
        <f t="shared" si="22"/>
        <v>0</v>
      </c>
      <c r="H137" s="59">
        <v>1455.86</v>
      </c>
      <c r="I137" s="88">
        <v>210</v>
      </c>
      <c r="J137" s="59">
        <v>605.46</v>
      </c>
      <c r="K137" s="59">
        <v>293.55</v>
      </c>
      <c r="L137" s="59">
        <f t="shared" si="26"/>
        <v>2564.87</v>
      </c>
      <c r="M137" s="15">
        <v>455.57</v>
      </c>
      <c r="N137" s="59">
        <f>65.25+114.15+114.15</f>
        <v>293.55</v>
      </c>
      <c r="O137" s="59">
        <f>114.15+114.15+69+65.25</f>
        <v>362.55</v>
      </c>
      <c r="P137" s="15">
        <f>114.15+114.15+65.25+41.4</f>
        <v>334.95</v>
      </c>
      <c r="Q137" s="59">
        <f t="shared" si="23"/>
        <v>1446.6200000000001</v>
      </c>
      <c r="R137" s="15">
        <v>293.55</v>
      </c>
      <c r="S137" s="15">
        <f>114.15+114.15+65.25+69</f>
        <v>362.55</v>
      </c>
      <c r="T137" s="59">
        <f>114.15+114.15+65.25</f>
        <v>293.55</v>
      </c>
      <c r="U137" s="121">
        <v>455.68</v>
      </c>
      <c r="V137" s="116">
        <f>+R137+S138+T137+U137</f>
        <v>1096.54</v>
      </c>
      <c r="W137" s="18">
        <f t="shared" si="25"/>
        <v>5108.03</v>
      </c>
      <c r="X137" s="54">
        <f t="shared" si="21"/>
        <v>-5108.03</v>
      </c>
    </row>
    <row r="138" spans="1:24" x14ac:dyDescent="0.2">
      <c r="A138" s="78"/>
      <c r="B138" s="79" t="s">
        <v>150</v>
      </c>
      <c r="C138" s="5"/>
      <c r="D138" s="5"/>
      <c r="E138" s="5"/>
      <c r="F138" s="5"/>
      <c r="G138" s="18">
        <f t="shared" si="22"/>
        <v>0</v>
      </c>
      <c r="H138" s="59"/>
      <c r="I138" s="88">
        <v>45.7</v>
      </c>
      <c r="J138" s="91">
        <v>45.7</v>
      </c>
      <c r="K138" s="59">
        <v>53.76</v>
      </c>
      <c r="L138" s="59">
        <f t="shared" si="26"/>
        <v>145.16</v>
      </c>
      <c r="M138" s="15">
        <v>53.76</v>
      </c>
      <c r="N138" s="59">
        <v>53.76</v>
      </c>
      <c r="O138" s="59">
        <v>53.76</v>
      </c>
      <c r="P138" s="15">
        <v>53.76</v>
      </c>
      <c r="Q138" s="59">
        <f t="shared" si="23"/>
        <v>215.04</v>
      </c>
      <c r="R138" s="64">
        <v>53.76</v>
      </c>
      <c r="S138" s="15">
        <v>53.76</v>
      </c>
      <c r="T138" s="59">
        <v>53.76</v>
      </c>
      <c r="U138" s="122">
        <v>53.76</v>
      </c>
      <c r="V138" s="116">
        <f>+R138+S138+T138+U138</f>
        <v>215.04</v>
      </c>
      <c r="W138" s="18">
        <f t="shared" si="25"/>
        <v>575.24</v>
      </c>
      <c r="X138" s="54">
        <f t="shared" si="21"/>
        <v>-575.24</v>
      </c>
    </row>
    <row r="139" spans="1:24" ht="15.75" thickBot="1" x14ac:dyDescent="0.25">
      <c r="A139" s="78"/>
      <c r="B139" s="86" t="s">
        <v>113</v>
      </c>
      <c r="C139" s="87">
        <v>0</v>
      </c>
      <c r="D139" s="123"/>
      <c r="E139" s="123"/>
      <c r="F139" s="123"/>
      <c r="G139" s="66">
        <f t="shared" si="22"/>
        <v>0</v>
      </c>
      <c r="H139" s="124">
        <v>0</v>
      </c>
      <c r="I139" s="125"/>
      <c r="J139" s="124"/>
      <c r="K139" s="126"/>
      <c r="L139" s="124">
        <f t="shared" si="26"/>
        <v>0</v>
      </c>
      <c r="M139" s="127"/>
      <c r="N139" s="124">
        <v>861.34</v>
      </c>
      <c r="O139" s="124"/>
      <c r="P139" s="123"/>
      <c r="Q139" s="124">
        <f t="shared" si="23"/>
        <v>861.34</v>
      </c>
      <c r="R139" s="123"/>
      <c r="S139" s="123"/>
      <c r="T139" s="124"/>
      <c r="U139" s="128"/>
      <c r="V139" s="116">
        <f t="shared" si="24"/>
        <v>0</v>
      </c>
      <c r="W139" s="18">
        <f t="shared" si="25"/>
        <v>861.34</v>
      </c>
      <c r="X139" s="54">
        <f t="shared" si="21"/>
        <v>-861.34</v>
      </c>
    </row>
    <row r="140" spans="1:24" ht="12.75" thickBot="1" x14ac:dyDescent="0.25">
      <c r="A140" s="12"/>
      <c r="B140" s="117" t="s">
        <v>70</v>
      </c>
      <c r="C140" s="118">
        <f>SUM(C54:C139)</f>
        <v>450000</v>
      </c>
      <c r="D140" s="119">
        <f>SUM(D54:D134)</f>
        <v>136000</v>
      </c>
      <c r="E140" s="119">
        <f>SUM(E54:E134)</f>
        <v>136000</v>
      </c>
      <c r="F140" s="119">
        <f>SUM(F54:F134)</f>
        <v>717327.755</v>
      </c>
      <c r="G140" s="139">
        <f>SUM(G54:G134)</f>
        <v>1167327.7549999999</v>
      </c>
      <c r="H140" s="139">
        <f t="shared" ref="H140:X140" si="27">SUM(H54:H139)</f>
        <v>37238.520000000004</v>
      </c>
      <c r="I140" s="139">
        <f t="shared" si="27"/>
        <v>149571.68</v>
      </c>
      <c r="J140" s="139">
        <f t="shared" si="27"/>
        <v>92000.190000000017</v>
      </c>
      <c r="K140" s="139">
        <f t="shared" si="27"/>
        <v>80405.73</v>
      </c>
      <c r="L140" s="139">
        <f t="shared" si="27"/>
        <v>359216.12</v>
      </c>
      <c r="M140" s="139">
        <f t="shared" si="27"/>
        <v>99616.180000000022</v>
      </c>
      <c r="N140" s="139">
        <f t="shared" si="27"/>
        <v>50845.74</v>
      </c>
      <c r="O140" s="139">
        <f t="shared" si="27"/>
        <v>201598.46000000008</v>
      </c>
      <c r="P140" s="139">
        <f t="shared" si="27"/>
        <v>118058.59000000003</v>
      </c>
      <c r="Q140" s="139">
        <f>SUM(Q54:Q139)</f>
        <v>470118.96999999991</v>
      </c>
      <c r="R140" s="139">
        <f t="shared" si="27"/>
        <v>100559.93</v>
      </c>
      <c r="S140" s="139">
        <f t="shared" si="27"/>
        <v>81711.699999999983</v>
      </c>
      <c r="T140" s="139">
        <f t="shared" si="27"/>
        <v>230748.58</v>
      </c>
      <c r="U140" s="139">
        <f t="shared" si="27"/>
        <v>156581.97000000006</v>
      </c>
      <c r="V140" s="66">
        <f t="shared" si="27"/>
        <v>569293.39000000013</v>
      </c>
      <c r="W140" s="66">
        <f t="shared" si="27"/>
        <v>1398628.4800000009</v>
      </c>
      <c r="X140" s="66">
        <f t="shared" si="27"/>
        <v>-231300.72500000003</v>
      </c>
    </row>
    <row r="141" spans="1:24" ht="23.25" thickBot="1" x14ac:dyDescent="0.25">
      <c r="A141" s="12"/>
      <c r="B141" s="14" t="s">
        <v>118</v>
      </c>
      <c r="C141" s="19"/>
    </row>
    <row r="142" spans="1:24" x14ac:dyDescent="0.2">
      <c r="O142" s="96"/>
    </row>
    <row r="143" spans="1:24" x14ac:dyDescent="0.2">
      <c r="I143" s="96"/>
    </row>
    <row r="145" spans="9:9" x14ac:dyDescent="0.2">
      <c r="I145" s="96"/>
    </row>
  </sheetData>
  <mergeCells count="26">
    <mergeCell ref="B47:X47"/>
    <mergeCell ref="B46:X46"/>
    <mergeCell ref="B15:H15"/>
    <mergeCell ref="B8:W8"/>
    <mergeCell ref="B9:W9"/>
    <mergeCell ref="B44:X44"/>
    <mergeCell ref="B12:W12"/>
    <mergeCell ref="B10:W10"/>
    <mergeCell ref="B11:W11"/>
    <mergeCell ref="B13:W13"/>
    <mergeCell ref="D52:F52"/>
    <mergeCell ref="B16:G16"/>
    <mergeCell ref="D17:F17"/>
    <mergeCell ref="B51:G51"/>
    <mergeCell ref="B38:H38"/>
    <mergeCell ref="B39:H39"/>
    <mergeCell ref="B40:H40"/>
    <mergeCell ref="B42:H42"/>
    <mergeCell ref="B43:H43"/>
    <mergeCell ref="B41:H41"/>
    <mergeCell ref="B36:H36"/>
    <mergeCell ref="B37:H37"/>
    <mergeCell ref="B45:X45"/>
    <mergeCell ref="B49:X49"/>
    <mergeCell ref="B48:X48"/>
    <mergeCell ref="B50:X50"/>
  </mergeCells>
  <pageMargins left="1.5748031496062993" right="0.51181102362204722" top="1.5748031496062993" bottom="1.1811023622047245" header="0.31496062992125984" footer="0.31496062992125984"/>
  <pageSetup scale="65" orientation="landscape" r:id="rId1"/>
  <headerFooter>
    <oddFooter>Página &amp;P</oddFooter>
  </headerFooter>
  <rowBreaks count="1" manualBreakCount="1">
    <brk id="110" max="23" man="1"/>
  </rowBreaks>
  <ignoredErrors>
    <ignoredError sqref="C55:C60" unlockedFormula="1"/>
    <ignoredError sqref="A62 A136:A141 A64:A112 A114:A134" numberStoredAsText="1"/>
    <ignoredError sqref="R33 Q20 V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2"/>
  <sheetViews>
    <sheetView tabSelected="1" zoomScaleNormal="100" workbookViewId="0">
      <selection activeCell="P10" sqref="P10"/>
    </sheetView>
  </sheetViews>
  <sheetFormatPr baseColWidth="10" defaultColWidth="11" defaultRowHeight="12" x14ac:dyDescent="0.2"/>
  <cols>
    <col min="1" max="1" width="8.28515625" style="2" customWidth="1"/>
    <col min="2" max="2" width="24.7109375" style="2" customWidth="1"/>
    <col min="3" max="3" width="16" style="2" customWidth="1"/>
    <col min="4" max="4" width="12.85546875" style="2" customWidth="1"/>
    <col min="5" max="5" width="12.28515625" style="2" customWidth="1"/>
    <col min="6" max="6" width="13.7109375" style="2" customWidth="1"/>
    <col min="7" max="7" width="13.42578125" style="2" customWidth="1"/>
    <col min="8" max="10" width="0" style="2" hidden="1" customWidth="1"/>
    <col min="11" max="16384" width="11" style="2"/>
  </cols>
  <sheetData>
    <row r="1" spans="2:14" x14ac:dyDescent="0.2">
      <c r="B1" s="157"/>
      <c r="C1" s="157"/>
      <c r="D1" s="157"/>
      <c r="E1" s="157"/>
      <c r="F1" s="157"/>
      <c r="G1" s="157"/>
    </row>
    <row r="2" spans="2:14" x14ac:dyDescent="0.2">
      <c r="B2" s="20"/>
      <c r="C2" s="20"/>
      <c r="D2" s="20"/>
      <c r="E2" s="20"/>
      <c r="F2" s="20"/>
      <c r="G2" s="20"/>
    </row>
    <row r="3" spans="2:14" x14ac:dyDescent="0.2">
      <c r="B3" s="20"/>
      <c r="C3" s="20"/>
      <c r="D3" s="20"/>
      <c r="E3" s="20"/>
      <c r="F3" s="20"/>
      <c r="G3" s="20"/>
    </row>
    <row r="4" spans="2:14" x14ac:dyDescent="0.2">
      <c r="B4" s="20"/>
      <c r="C4" s="20"/>
      <c r="D4" s="20"/>
      <c r="E4" s="20"/>
      <c r="F4" s="20"/>
      <c r="G4" s="20"/>
    </row>
    <row r="5" spans="2:14" x14ac:dyDescent="0.2">
      <c r="B5" s="20"/>
      <c r="C5" s="20"/>
      <c r="D5" s="20"/>
      <c r="E5" s="20"/>
      <c r="F5" s="20"/>
      <c r="G5" s="20"/>
    </row>
    <row r="6" spans="2:14" x14ac:dyDescent="0.2">
      <c r="B6" s="20"/>
      <c r="C6" s="20"/>
      <c r="D6" s="20"/>
      <c r="E6" s="20"/>
      <c r="F6" s="20"/>
      <c r="G6" s="20"/>
    </row>
    <row r="7" spans="2:14" x14ac:dyDescent="0.2">
      <c r="B7" s="157"/>
      <c r="C7" s="157"/>
      <c r="D7" s="157"/>
      <c r="E7" s="157"/>
      <c r="F7" s="157"/>
      <c r="G7" s="157"/>
    </row>
    <row r="8" spans="2:14" x14ac:dyDescent="0.2">
      <c r="B8" s="157" t="s">
        <v>122</v>
      </c>
      <c r="C8" s="157"/>
      <c r="D8" s="157"/>
      <c r="E8" s="157"/>
      <c r="F8" s="157"/>
      <c r="G8" s="157"/>
      <c r="H8" s="157"/>
      <c r="I8" s="157"/>
      <c r="J8" s="157"/>
    </row>
    <row r="9" spans="2:14" x14ac:dyDescent="0.2">
      <c r="B9" s="157" t="s">
        <v>121</v>
      </c>
      <c r="C9" s="157"/>
      <c r="D9" s="157"/>
      <c r="E9" s="157"/>
      <c r="F9" s="157"/>
      <c r="G9" s="157"/>
      <c r="H9" s="157"/>
      <c r="I9" s="157"/>
      <c r="J9" s="157"/>
    </row>
    <row r="10" spans="2:14" x14ac:dyDescent="0.2">
      <c r="B10" s="157" t="s">
        <v>159</v>
      </c>
      <c r="C10" s="157"/>
      <c r="D10" s="157"/>
      <c r="E10" s="157"/>
      <c r="F10" s="157"/>
      <c r="G10" s="157"/>
      <c r="H10" s="157"/>
      <c r="I10" s="157"/>
      <c r="J10" s="157"/>
    </row>
    <row r="11" spans="2:14" x14ac:dyDescent="0.2">
      <c r="B11" s="157" t="s">
        <v>162</v>
      </c>
      <c r="C11" s="157"/>
      <c r="D11" s="157"/>
      <c r="E11" s="157"/>
      <c r="F11" s="157"/>
      <c r="G11" s="157"/>
      <c r="H11" s="3"/>
      <c r="I11" s="3"/>
      <c r="J11" s="3"/>
      <c r="K11" s="3"/>
      <c r="L11" s="3"/>
      <c r="M11" s="3"/>
      <c r="N11" s="3"/>
    </row>
    <row r="12" spans="2:14" x14ac:dyDescent="0.2">
      <c r="B12" s="157" t="s">
        <v>132</v>
      </c>
      <c r="C12" s="157"/>
      <c r="D12" s="157"/>
      <c r="E12" s="157"/>
      <c r="F12" s="157"/>
      <c r="G12" s="157"/>
      <c r="H12" s="3"/>
      <c r="I12" s="3"/>
      <c r="J12" s="3"/>
      <c r="K12" s="3"/>
      <c r="L12" s="3"/>
      <c r="M12" s="3"/>
      <c r="N12" s="3"/>
    </row>
    <row r="13" spans="2:14" x14ac:dyDescent="0.2">
      <c r="B13" s="157" t="s">
        <v>160</v>
      </c>
      <c r="C13" s="157"/>
      <c r="D13" s="157"/>
      <c r="E13" s="157"/>
      <c r="F13" s="157"/>
      <c r="G13" s="157"/>
      <c r="H13" s="157"/>
      <c r="I13" s="157"/>
      <c r="J13" s="157"/>
    </row>
    <row r="14" spans="2:14" ht="13.5" customHeight="1" x14ac:dyDescent="0.2">
      <c r="B14" s="157" t="s">
        <v>143</v>
      </c>
      <c r="C14" s="157"/>
      <c r="D14" s="157"/>
      <c r="E14" s="157"/>
      <c r="F14" s="157"/>
      <c r="G14" s="157"/>
      <c r="H14" s="157"/>
      <c r="I14" s="157"/>
      <c r="J14" s="157"/>
    </row>
    <row r="15" spans="2:14" ht="13.5" customHeight="1" x14ac:dyDescent="0.2">
      <c r="B15" s="20"/>
      <c r="C15" s="20"/>
      <c r="D15" s="20"/>
      <c r="E15" s="20"/>
      <c r="F15" s="20"/>
      <c r="G15" s="20"/>
      <c r="H15" s="20"/>
      <c r="I15" s="20"/>
      <c r="J15" s="20"/>
    </row>
    <row r="16" spans="2:14" ht="13.5" customHeight="1" x14ac:dyDescent="0.2">
      <c r="B16" s="157" t="s">
        <v>98</v>
      </c>
      <c r="C16" s="157"/>
      <c r="D16" s="157"/>
      <c r="E16" s="157"/>
      <c r="F16" s="157"/>
      <c r="G16" s="157"/>
    </row>
    <row r="17" spans="2:10" ht="12.75" thickBot="1" x14ac:dyDescent="0.25">
      <c r="B17" s="159" t="s">
        <v>0</v>
      </c>
      <c r="C17" s="159"/>
      <c r="D17" s="159"/>
      <c r="E17" s="159"/>
      <c r="F17" s="159"/>
      <c r="G17" s="159"/>
    </row>
    <row r="18" spans="2:10" ht="12.75" thickBot="1" x14ac:dyDescent="0.25">
      <c r="B18" s="72"/>
      <c r="C18" s="73"/>
      <c r="D18" s="73"/>
      <c r="E18" s="73"/>
      <c r="F18" s="73"/>
      <c r="G18" s="74"/>
    </row>
    <row r="19" spans="2:10" ht="27.75" thickBot="1" x14ac:dyDescent="0.25">
      <c r="B19" s="24" t="s">
        <v>2</v>
      </c>
      <c r="C19" s="100" t="s">
        <v>99</v>
      </c>
      <c r="D19" s="101" t="s">
        <v>3</v>
      </c>
      <c r="E19" s="101" t="s">
        <v>4</v>
      </c>
      <c r="F19" s="102" t="s">
        <v>100</v>
      </c>
      <c r="G19" s="9" t="s">
        <v>5</v>
      </c>
      <c r="H19" s="25" t="s">
        <v>6</v>
      </c>
      <c r="I19" s="25" t="s">
        <v>119</v>
      </c>
      <c r="J19" s="26" t="s">
        <v>71</v>
      </c>
    </row>
    <row r="20" spans="2:10" ht="12.75" x14ac:dyDescent="0.2">
      <c r="B20" s="56" t="s">
        <v>7</v>
      </c>
      <c r="C20" s="67">
        <v>0</v>
      </c>
      <c r="D20" s="27"/>
      <c r="E20" s="27"/>
      <c r="F20" s="27"/>
      <c r="G20" s="27">
        <f>+C20</f>
        <v>0</v>
      </c>
      <c r="H20" s="69"/>
      <c r="I20" s="27"/>
      <c r="J20" s="28">
        <f>+G20</f>
        <v>0</v>
      </c>
    </row>
    <row r="21" spans="2:10" ht="12.75" x14ac:dyDescent="0.2">
      <c r="B21" s="55" t="s">
        <v>8</v>
      </c>
      <c r="C21" s="140">
        <v>450000</v>
      </c>
      <c r="D21" s="21"/>
      <c r="E21" s="21"/>
      <c r="F21" s="21"/>
      <c r="G21" s="6">
        <f>+C21+D21-E21+F21</f>
        <v>450000</v>
      </c>
      <c r="H21" s="70">
        <v>0</v>
      </c>
      <c r="I21" s="6">
        <v>99999</v>
      </c>
      <c r="J21" s="29">
        <f>+H21+I21</f>
        <v>99999</v>
      </c>
    </row>
    <row r="22" spans="2:10" ht="12.75" x14ac:dyDescent="0.2">
      <c r="B22" s="55" t="s">
        <v>124</v>
      </c>
      <c r="C22" s="140">
        <v>8500</v>
      </c>
      <c r="D22" s="21"/>
      <c r="E22" s="21">
        <v>8500</v>
      </c>
      <c r="F22" s="21"/>
      <c r="G22" s="6">
        <f t="shared" ref="G22:G33" si="0">+C22+D22-E22+F22</f>
        <v>0</v>
      </c>
      <c r="H22" s="70"/>
      <c r="I22" s="6"/>
      <c r="J22" s="29">
        <f t="shared" ref="J22:J32" si="1">+H22+I22</f>
        <v>0</v>
      </c>
    </row>
    <row r="23" spans="2:10" ht="25.5" x14ac:dyDescent="0.2">
      <c r="B23" s="55" t="s">
        <v>112</v>
      </c>
      <c r="C23" s="140">
        <v>130000</v>
      </c>
      <c r="D23" s="21"/>
      <c r="E23" s="21">
        <v>42438.12</v>
      </c>
      <c r="F23" s="21"/>
      <c r="G23" s="6">
        <f>+C23+D23-E23+F23</f>
        <v>87561.88</v>
      </c>
      <c r="H23" s="70"/>
      <c r="I23" s="6"/>
      <c r="J23" s="29">
        <f t="shared" si="1"/>
        <v>0</v>
      </c>
    </row>
    <row r="24" spans="2:10" ht="25.5" x14ac:dyDescent="0.2">
      <c r="B24" s="55" t="s">
        <v>157</v>
      </c>
      <c r="C24" s="140">
        <v>0</v>
      </c>
      <c r="D24" s="6"/>
      <c r="E24" s="6"/>
      <c r="F24" s="6">
        <v>245678.01</v>
      </c>
      <c r="G24" s="6">
        <f>+F24</f>
        <v>245678.01</v>
      </c>
      <c r="H24" s="70"/>
      <c r="I24" s="6"/>
      <c r="J24" s="29"/>
    </row>
    <row r="25" spans="2:10" ht="25.5" x14ac:dyDescent="0.2">
      <c r="B25" s="55" t="s">
        <v>9</v>
      </c>
      <c r="C25" s="5">
        <v>0</v>
      </c>
      <c r="D25" s="6"/>
      <c r="E25" s="6"/>
      <c r="F25" s="6">
        <v>172320</v>
      </c>
      <c r="G25" s="6">
        <f>+C25+D25-E25+F25</f>
        <v>172320</v>
      </c>
      <c r="H25" s="70"/>
      <c r="I25" s="6">
        <v>10119.98</v>
      </c>
      <c r="J25" s="29">
        <f>+H25+I25</f>
        <v>10119.98</v>
      </c>
    </row>
    <row r="26" spans="2:10" ht="25.5" x14ac:dyDescent="0.2">
      <c r="B26" s="55" t="s">
        <v>125</v>
      </c>
      <c r="C26" s="5">
        <v>0</v>
      </c>
      <c r="D26" s="6"/>
      <c r="E26" s="6"/>
      <c r="F26" s="6"/>
      <c r="G26" s="6">
        <f t="shared" si="0"/>
        <v>0</v>
      </c>
      <c r="H26" s="70"/>
      <c r="I26" s="6"/>
      <c r="J26" s="29">
        <f t="shared" si="1"/>
        <v>0</v>
      </c>
    </row>
    <row r="27" spans="2:10" ht="25.5" x14ac:dyDescent="0.2">
      <c r="B27" s="55" t="s">
        <v>151</v>
      </c>
      <c r="C27" s="5">
        <v>0</v>
      </c>
      <c r="D27" s="21">
        <v>8179.2</v>
      </c>
      <c r="E27" s="21"/>
      <c r="F27" s="21"/>
      <c r="G27" s="6">
        <f t="shared" si="0"/>
        <v>8179.2</v>
      </c>
      <c r="H27" s="70"/>
      <c r="I27" s="22"/>
      <c r="J27" s="29">
        <f t="shared" si="1"/>
        <v>0</v>
      </c>
    </row>
    <row r="28" spans="2:10" ht="25.5" x14ac:dyDescent="0.2">
      <c r="B28" s="55" t="s">
        <v>152</v>
      </c>
      <c r="C28" s="140">
        <v>0</v>
      </c>
      <c r="D28" s="21"/>
      <c r="E28" s="21"/>
      <c r="F28" s="21">
        <v>420174</v>
      </c>
      <c r="G28" s="6">
        <f>+C28+D28-E28+F28</f>
        <v>420174</v>
      </c>
      <c r="H28" s="70"/>
      <c r="I28" s="6"/>
      <c r="J28" s="29">
        <f t="shared" si="1"/>
        <v>0</v>
      </c>
    </row>
    <row r="29" spans="2:10" ht="12.75" x14ac:dyDescent="0.2">
      <c r="B29" s="55" t="s">
        <v>10</v>
      </c>
      <c r="C29" s="140">
        <v>0</v>
      </c>
      <c r="D29" s="23">
        <v>1599.63</v>
      </c>
      <c r="E29" s="23"/>
      <c r="F29" s="23"/>
      <c r="G29" s="6">
        <f t="shared" si="0"/>
        <v>1599.63</v>
      </c>
      <c r="H29" s="70"/>
      <c r="I29" s="6">
        <v>0</v>
      </c>
      <c r="J29" s="29">
        <f t="shared" si="1"/>
        <v>0</v>
      </c>
    </row>
    <row r="30" spans="2:10" ht="25.5" x14ac:dyDescent="0.2">
      <c r="B30" s="55" t="s">
        <v>101</v>
      </c>
      <c r="C30" s="5">
        <v>0</v>
      </c>
      <c r="D30" s="6">
        <v>2260.44</v>
      </c>
      <c r="E30" s="6"/>
      <c r="F30" s="6"/>
      <c r="G30" s="6">
        <f t="shared" si="0"/>
        <v>2260.44</v>
      </c>
      <c r="H30" s="70">
        <v>0</v>
      </c>
      <c r="I30" s="6">
        <v>0</v>
      </c>
      <c r="J30" s="29">
        <f t="shared" si="1"/>
        <v>0</v>
      </c>
    </row>
    <row r="31" spans="2:10" ht="25.5" x14ac:dyDescent="0.2">
      <c r="B31" s="55" t="s">
        <v>11</v>
      </c>
      <c r="C31" s="5">
        <v>0</v>
      </c>
      <c r="D31" s="6">
        <v>12280.32</v>
      </c>
      <c r="E31" s="6"/>
      <c r="F31" s="6"/>
      <c r="G31" s="6">
        <f t="shared" si="0"/>
        <v>12280.32</v>
      </c>
      <c r="H31" s="70">
        <v>0</v>
      </c>
      <c r="I31" s="6">
        <v>8336.14</v>
      </c>
      <c r="J31" s="29">
        <f t="shared" si="1"/>
        <v>8336.14</v>
      </c>
    </row>
    <row r="32" spans="2:10" ht="12.75" x14ac:dyDescent="0.2">
      <c r="B32" s="55" t="s">
        <v>113</v>
      </c>
      <c r="C32" s="5">
        <v>0</v>
      </c>
      <c r="D32" s="6"/>
      <c r="E32" s="6">
        <v>3094.93</v>
      </c>
      <c r="F32" s="6"/>
      <c r="G32" s="6">
        <f t="shared" si="0"/>
        <v>-3094.93</v>
      </c>
      <c r="H32" s="70"/>
      <c r="I32" s="6"/>
      <c r="J32" s="29">
        <f t="shared" si="1"/>
        <v>0</v>
      </c>
    </row>
    <row r="33" spans="2:10" ht="12.75" x14ac:dyDescent="0.2">
      <c r="B33" s="55" t="s">
        <v>102</v>
      </c>
      <c r="C33" s="5">
        <v>0</v>
      </c>
      <c r="D33" s="6">
        <v>13593.3</v>
      </c>
      <c r="E33" s="6"/>
      <c r="F33" s="6"/>
      <c r="G33" s="6">
        <f t="shared" si="0"/>
        <v>13593.3</v>
      </c>
      <c r="H33" s="99"/>
      <c r="I33" s="97"/>
      <c r="J33" s="98"/>
    </row>
    <row r="34" spans="2:10" ht="13.5" thickBot="1" x14ac:dyDescent="0.25">
      <c r="B34" s="75" t="s">
        <v>12</v>
      </c>
      <c r="C34" s="87">
        <f>SUM(C20:C33)</f>
        <v>588500</v>
      </c>
      <c r="D34" s="30">
        <f>SUM(D20:D33)</f>
        <v>37912.89</v>
      </c>
      <c r="E34" s="30">
        <f>SUM(E20:E33)</f>
        <v>54033.05</v>
      </c>
      <c r="F34" s="30">
        <f>SUM(F20:F33)</f>
        <v>838172.01</v>
      </c>
      <c r="G34" s="30">
        <f>SUM(G20:G33)</f>
        <v>1410551.8499999999</v>
      </c>
      <c r="H34" s="71">
        <f t="shared" ref="H34:I34" si="2">SUM(H20:H32)</f>
        <v>0</v>
      </c>
      <c r="I34" s="30">
        <f t="shared" si="2"/>
        <v>118455.12</v>
      </c>
      <c r="J34" s="31">
        <f>SUM(J21:J32)</f>
        <v>118455.12</v>
      </c>
    </row>
    <row r="35" spans="2:10" ht="12.75" x14ac:dyDescent="0.2">
      <c r="B35" s="8"/>
      <c r="C35" s="11"/>
      <c r="D35" s="11"/>
      <c r="E35" s="11"/>
      <c r="F35" s="11"/>
      <c r="G35" s="11"/>
      <c r="H35" s="11"/>
      <c r="I35" s="11"/>
      <c r="J35" s="11"/>
    </row>
    <row r="36" spans="2:10" ht="12.75" x14ac:dyDescent="0.2">
      <c r="B36" s="8"/>
      <c r="C36" s="11"/>
      <c r="D36" s="11"/>
      <c r="E36" s="11"/>
      <c r="F36" s="11"/>
      <c r="G36" s="11"/>
    </row>
    <row r="37" spans="2:10" ht="12.75" x14ac:dyDescent="0.2">
      <c r="B37" s="8"/>
      <c r="C37" s="11"/>
      <c r="D37" s="11"/>
      <c r="E37" s="11"/>
      <c r="F37" s="11"/>
      <c r="G37" s="11"/>
    </row>
    <row r="38" spans="2:10" x14ac:dyDescent="0.2">
      <c r="B38" s="157"/>
      <c r="C38" s="157"/>
      <c r="D38" s="157"/>
      <c r="E38" s="157"/>
      <c r="F38" s="157"/>
      <c r="G38" s="157"/>
    </row>
    <row r="39" spans="2:10" x14ac:dyDescent="0.2">
      <c r="B39" s="157"/>
      <c r="C39" s="157"/>
      <c r="D39" s="157"/>
      <c r="E39" s="157"/>
      <c r="F39" s="157"/>
      <c r="G39" s="157"/>
    </row>
    <row r="40" spans="2:10" x14ac:dyDescent="0.2">
      <c r="B40" s="157"/>
      <c r="C40" s="157"/>
      <c r="D40" s="157"/>
      <c r="E40" s="157"/>
      <c r="F40" s="157"/>
      <c r="G40" s="157"/>
    </row>
    <row r="41" spans="2:10" x14ac:dyDescent="0.2">
      <c r="B41" s="157"/>
      <c r="C41" s="157"/>
      <c r="D41" s="157"/>
      <c r="E41" s="157"/>
      <c r="F41" s="157"/>
      <c r="G41" s="157"/>
    </row>
    <row r="42" spans="2:10" x14ac:dyDescent="0.2">
      <c r="B42" s="157"/>
      <c r="C42" s="157"/>
      <c r="D42" s="157"/>
      <c r="E42" s="157"/>
      <c r="F42" s="157"/>
      <c r="G42" s="157"/>
    </row>
    <row r="43" spans="2:10" x14ac:dyDescent="0.2">
      <c r="B43" s="157"/>
      <c r="C43" s="157"/>
      <c r="D43" s="157"/>
      <c r="E43" s="157"/>
      <c r="F43" s="157"/>
      <c r="G43" s="157"/>
    </row>
    <row r="44" spans="2:10" x14ac:dyDescent="0.2">
      <c r="B44" s="157" t="s">
        <v>122</v>
      </c>
      <c r="C44" s="157"/>
      <c r="D44" s="157"/>
      <c r="E44" s="157"/>
      <c r="F44" s="157"/>
      <c r="G44" s="157"/>
      <c r="H44" s="3"/>
      <c r="I44" s="3"/>
      <c r="J44" s="3"/>
    </row>
    <row r="45" spans="2:10" x14ac:dyDescent="0.2">
      <c r="B45" s="157" t="s">
        <v>121</v>
      </c>
      <c r="C45" s="157"/>
      <c r="D45" s="157"/>
      <c r="E45" s="157"/>
      <c r="F45" s="157"/>
      <c r="G45" s="157"/>
      <c r="H45" s="3"/>
      <c r="I45" s="3"/>
      <c r="J45" s="3"/>
    </row>
    <row r="46" spans="2:10" x14ac:dyDescent="0.2">
      <c r="B46" s="157" t="str">
        <f>+B10</f>
        <v>(502) 2223-9500 EXT 252</v>
      </c>
      <c r="C46" s="157"/>
      <c r="D46" s="157"/>
      <c r="E46" s="157"/>
      <c r="F46" s="157"/>
      <c r="G46" s="157"/>
      <c r="H46" s="3"/>
      <c r="I46" s="3"/>
      <c r="J46" s="3"/>
    </row>
    <row r="47" spans="2:10" x14ac:dyDescent="0.2">
      <c r="B47" s="157" t="str">
        <f>+B11</f>
        <v>ENCARGADO ACCESO A LA INFORMACION PUBLICA  : NOE ALEXANDER LOPEZ BARRIENTOS</v>
      </c>
      <c r="C47" s="157"/>
      <c r="D47" s="157"/>
      <c r="E47" s="157"/>
      <c r="F47" s="157"/>
      <c r="G47" s="157"/>
      <c r="H47" s="3"/>
      <c r="I47" s="3"/>
      <c r="J47" s="3"/>
    </row>
    <row r="48" spans="2:10" x14ac:dyDescent="0.2">
      <c r="B48" s="157" t="s">
        <v>131</v>
      </c>
      <c r="C48" s="157"/>
      <c r="D48" s="157"/>
      <c r="E48" s="157"/>
      <c r="F48" s="157"/>
      <c r="G48" s="157"/>
      <c r="H48" s="3"/>
      <c r="I48" s="3"/>
      <c r="J48" s="3"/>
    </row>
    <row r="49" spans="1:10" x14ac:dyDescent="0.2">
      <c r="B49" s="157" t="str">
        <f>+B13</f>
        <v>FECHA ACTUALIZADA: DICIEMBRE 2024.</v>
      </c>
      <c r="C49" s="157"/>
      <c r="D49" s="157"/>
      <c r="E49" s="157"/>
      <c r="F49" s="157"/>
      <c r="G49" s="157"/>
      <c r="H49" s="3"/>
      <c r="I49" s="3"/>
      <c r="J49" s="3"/>
    </row>
    <row r="50" spans="1:10" x14ac:dyDescent="0.2">
      <c r="B50" s="157" t="s">
        <v>142</v>
      </c>
      <c r="C50" s="157"/>
      <c r="D50" s="157"/>
      <c r="E50" s="157"/>
      <c r="F50" s="157"/>
      <c r="G50" s="157"/>
    </row>
    <row r="51" spans="1:10" x14ac:dyDescent="0.2">
      <c r="B51" s="1"/>
      <c r="C51" s="4"/>
      <c r="D51" s="7"/>
      <c r="E51" s="7"/>
      <c r="F51" s="7"/>
      <c r="G51" s="7"/>
    </row>
    <row r="52" spans="1:10" ht="12.75" thickBot="1" x14ac:dyDescent="0.25">
      <c r="B52" s="159"/>
      <c r="C52" s="159"/>
      <c r="D52" s="159"/>
      <c r="E52" s="159"/>
      <c r="F52" s="159"/>
      <c r="G52" s="7"/>
    </row>
    <row r="53" spans="1:10" ht="12.75" thickBot="1" x14ac:dyDescent="0.25">
      <c r="B53" s="160" t="s">
        <v>13</v>
      </c>
      <c r="C53" s="161"/>
      <c r="D53" s="162" t="s">
        <v>1</v>
      </c>
      <c r="E53" s="163"/>
      <c r="F53" s="164"/>
      <c r="G53" s="7"/>
    </row>
    <row r="54" spans="1:10" ht="27.75" thickBot="1" x14ac:dyDescent="0.25">
      <c r="A54" s="10"/>
      <c r="B54" s="141" t="s">
        <v>2</v>
      </c>
      <c r="C54" s="142" t="s">
        <v>99</v>
      </c>
      <c r="D54" s="143" t="s">
        <v>3</v>
      </c>
      <c r="E54" s="143" t="s">
        <v>4</v>
      </c>
      <c r="F54" s="144" t="s">
        <v>100</v>
      </c>
      <c r="G54" s="145" t="s">
        <v>5</v>
      </c>
    </row>
    <row r="55" spans="1:10" x14ac:dyDescent="0.2">
      <c r="A55" s="76">
        <v>0</v>
      </c>
      <c r="B55" s="83" t="s">
        <v>14</v>
      </c>
      <c r="C55" s="140"/>
      <c r="D55" s="140"/>
      <c r="E55" s="140"/>
      <c r="F55" s="140"/>
      <c r="G55" s="68"/>
    </row>
    <row r="56" spans="1:10" x14ac:dyDescent="0.2">
      <c r="A56" s="78">
        <v>11</v>
      </c>
      <c r="B56" s="79" t="s">
        <v>15</v>
      </c>
      <c r="C56" s="80">
        <f>3400*12</f>
        <v>40800</v>
      </c>
      <c r="D56" s="18">
        <v>6000</v>
      </c>
      <c r="E56" s="18"/>
      <c r="F56" s="18"/>
      <c r="G56" s="146">
        <f t="shared" ref="G56:G97" si="3">+C56+D56-E56+F56</f>
        <v>46800</v>
      </c>
    </row>
    <row r="57" spans="1:10" ht="22.5" x14ac:dyDescent="0.2">
      <c r="A57" s="78">
        <v>15</v>
      </c>
      <c r="B57" s="79" t="s">
        <v>16</v>
      </c>
      <c r="C57" s="80">
        <f>250*12</f>
        <v>3000</v>
      </c>
      <c r="D57" s="18"/>
      <c r="E57" s="18"/>
      <c r="F57" s="18"/>
      <c r="G57" s="146">
        <f t="shared" si="3"/>
        <v>3000</v>
      </c>
    </row>
    <row r="58" spans="1:10" x14ac:dyDescent="0.2">
      <c r="A58" s="78">
        <v>22</v>
      </c>
      <c r="B58" s="79" t="s">
        <v>17</v>
      </c>
      <c r="C58" s="80"/>
      <c r="D58" s="18"/>
      <c r="E58" s="18"/>
      <c r="F58" s="18"/>
      <c r="G58" s="146">
        <f t="shared" si="3"/>
        <v>0</v>
      </c>
    </row>
    <row r="59" spans="1:10" ht="22.5" x14ac:dyDescent="0.2">
      <c r="A59" s="78">
        <v>27</v>
      </c>
      <c r="B59" s="79" t="s">
        <v>18</v>
      </c>
      <c r="C59" s="80"/>
      <c r="D59" s="18"/>
      <c r="E59" s="18"/>
      <c r="F59" s="18"/>
      <c r="G59" s="146">
        <f t="shared" si="3"/>
        <v>0</v>
      </c>
    </row>
    <row r="60" spans="1:10" x14ac:dyDescent="0.2">
      <c r="A60" s="78">
        <v>51</v>
      </c>
      <c r="B60" s="79" t="s">
        <v>19</v>
      </c>
      <c r="C60" s="80">
        <v>4353.3599999999997</v>
      </c>
      <c r="D60" s="18">
        <v>1253.74</v>
      </c>
      <c r="E60" s="18"/>
      <c r="F60" s="18"/>
      <c r="G60" s="146">
        <f t="shared" si="3"/>
        <v>5607.0999999999995</v>
      </c>
    </row>
    <row r="61" spans="1:10" x14ac:dyDescent="0.2">
      <c r="A61" s="78">
        <v>61</v>
      </c>
      <c r="B61" s="79" t="s">
        <v>20</v>
      </c>
      <c r="C61" s="80"/>
      <c r="D61" s="18"/>
      <c r="E61" s="18">
        <v>610</v>
      </c>
      <c r="F61" s="18">
        <v>117420</v>
      </c>
      <c r="G61" s="146">
        <f t="shared" si="3"/>
        <v>116810</v>
      </c>
    </row>
    <row r="62" spans="1:10" x14ac:dyDescent="0.2">
      <c r="A62" s="78">
        <v>63</v>
      </c>
      <c r="B62" s="79" t="s">
        <v>145</v>
      </c>
      <c r="C62" s="80"/>
      <c r="D62" s="18"/>
      <c r="E62" s="18"/>
      <c r="F62" s="18">
        <v>54000</v>
      </c>
      <c r="G62" s="146">
        <f t="shared" si="3"/>
        <v>54000</v>
      </c>
    </row>
    <row r="63" spans="1:10" x14ac:dyDescent="0.2">
      <c r="A63" s="78" t="s">
        <v>73</v>
      </c>
      <c r="B63" s="79" t="s">
        <v>21</v>
      </c>
      <c r="C63" s="80">
        <v>3400</v>
      </c>
      <c r="D63" s="18">
        <v>412.5</v>
      </c>
      <c r="E63" s="18"/>
      <c r="F63" s="18"/>
      <c r="G63" s="146">
        <f t="shared" si="3"/>
        <v>3812.5</v>
      </c>
    </row>
    <row r="64" spans="1:10" ht="22.5" x14ac:dyDescent="0.2">
      <c r="A64" s="78">
        <v>72</v>
      </c>
      <c r="B64" s="79" t="s">
        <v>22</v>
      </c>
      <c r="C64" s="80">
        <v>3400</v>
      </c>
      <c r="D64" s="18"/>
      <c r="E64" s="18"/>
      <c r="F64" s="18">
        <v>124</v>
      </c>
      <c r="G64" s="146">
        <f t="shared" si="3"/>
        <v>3524</v>
      </c>
    </row>
    <row r="65" spans="1:7" x14ac:dyDescent="0.2">
      <c r="A65" s="81" t="s">
        <v>74</v>
      </c>
      <c r="B65" s="79" t="s">
        <v>23</v>
      </c>
      <c r="C65" s="80"/>
      <c r="D65" s="18"/>
      <c r="E65" s="18"/>
      <c r="F65" s="18">
        <v>1700</v>
      </c>
      <c r="G65" s="146">
        <f t="shared" si="3"/>
        <v>1700</v>
      </c>
    </row>
    <row r="66" spans="1:7" x14ac:dyDescent="0.2">
      <c r="A66" s="82" t="s">
        <v>75</v>
      </c>
      <c r="B66" s="83" t="s">
        <v>24</v>
      </c>
      <c r="C66" s="5"/>
      <c r="D66" s="18"/>
      <c r="E66" s="18"/>
      <c r="F66" s="18"/>
      <c r="G66" s="146">
        <f t="shared" si="3"/>
        <v>0</v>
      </c>
    </row>
    <row r="67" spans="1:7" x14ac:dyDescent="0.2">
      <c r="A67" s="78">
        <v>111</v>
      </c>
      <c r="B67" s="79" t="s">
        <v>25</v>
      </c>
      <c r="C67" s="5">
        <v>1000</v>
      </c>
      <c r="D67" s="18"/>
      <c r="E67" s="18">
        <v>1000</v>
      </c>
      <c r="F67" s="18"/>
      <c r="G67" s="146">
        <f t="shared" si="3"/>
        <v>0</v>
      </c>
    </row>
    <row r="68" spans="1:7" x14ac:dyDescent="0.2">
      <c r="A68" s="78">
        <v>112</v>
      </c>
      <c r="B68" s="79" t="s">
        <v>26</v>
      </c>
      <c r="C68" s="5"/>
      <c r="D68" s="18"/>
      <c r="E68" s="18"/>
      <c r="F68" s="18"/>
      <c r="G68" s="146">
        <f t="shared" si="3"/>
        <v>0</v>
      </c>
    </row>
    <row r="69" spans="1:7" x14ac:dyDescent="0.2">
      <c r="A69" s="78">
        <v>113</v>
      </c>
      <c r="B69" s="79" t="s">
        <v>27</v>
      </c>
      <c r="C69" s="5">
        <v>1500</v>
      </c>
      <c r="D69" s="18"/>
      <c r="E69" s="18">
        <v>1500</v>
      </c>
      <c r="F69" s="18"/>
      <c r="G69" s="146">
        <f t="shared" si="3"/>
        <v>0</v>
      </c>
    </row>
    <row r="70" spans="1:7" x14ac:dyDescent="0.2">
      <c r="A70" s="78">
        <v>114</v>
      </c>
      <c r="B70" s="79" t="s">
        <v>28</v>
      </c>
      <c r="C70" s="5"/>
      <c r="D70" s="18"/>
      <c r="E70" s="18"/>
      <c r="F70" s="18"/>
      <c r="G70" s="146">
        <f t="shared" si="3"/>
        <v>0</v>
      </c>
    </row>
    <row r="71" spans="1:7" ht="22.5" x14ac:dyDescent="0.2">
      <c r="A71" s="78">
        <v>115</v>
      </c>
      <c r="B71" s="79" t="s">
        <v>29</v>
      </c>
      <c r="C71" s="5">
        <v>600</v>
      </c>
      <c r="D71" s="18">
        <f>20.93+179.07</f>
        <v>200</v>
      </c>
      <c r="E71" s="18"/>
      <c r="F71" s="18">
        <v>500</v>
      </c>
      <c r="G71" s="146">
        <f t="shared" si="3"/>
        <v>1300</v>
      </c>
    </row>
    <row r="72" spans="1:7" x14ac:dyDescent="0.2">
      <c r="A72" s="78">
        <v>121</v>
      </c>
      <c r="B72" s="79" t="s">
        <v>30</v>
      </c>
      <c r="C72" s="5"/>
      <c r="D72" s="18"/>
      <c r="E72" s="18"/>
      <c r="F72" s="18">
        <v>2100</v>
      </c>
      <c r="G72" s="146">
        <f t="shared" si="3"/>
        <v>2100</v>
      </c>
    </row>
    <row r="73" spans="1:7" x14ac:dyDescent="0.2">
      <c r="A73" s="78">
        <v>122</v>
      </c>
      <c r="B73" s="79" t="s">
        <v>111</v>
      </c>
      <c r="C73" s="5"/>
      <c r="D73" s="18"/>
      <c r="E73" s="18"/>
      <c r="F73" s="18"/>
      <c r="G73" s="146">
        <f t="shared" si="3"/>
        <v>0</v>
      </c>
    </row>
    <row r="74" spans="1:7" x14ac:dyDescent="0.2">
      <c r="A74" s="61">
        <v>131</v>
      </c>
      <c r="B74" s="45" t="s">
        <v>31</v>
      </c>
      <c r="C74" s="18"/>
      <c r="D74" s="18">
        <f>430.93+3751.56+3607.71+3739.04</f>
        <v>11529.24</v>
      </c>
      <c r="E74" s="18"/>
      <c r="F74" s="18">
        <f>29837.5+6767.38+59675+6777.38</f>
        <v>103057.26000000001</v>
      </c>
      <c r="G74" s="146">
        <f t="shared" si="3"/>
        <v>114586.50000000001</v>
      </c>
    </row>
    <row r="75" spans="1:7" x14ac:dyDescent="0.2">
      <c r="A75" s="78" t="s">
        <v>76</v>
      </c>
      <c r="B75" s="79" t="s">
        <v>32</v>
      </c>
      <c r="C75" s="5">
        <v>8500</v>
      </c>
      <c r="D75" s="18">
        <f>6240+31260.96+712.71</f>
        <v>38213.67</v>
      </c>
      <c r="E75" s="18">
        <v>8500</v>
      </c>
      <c r="F75" s="18">
        <f>15500+60752.025+33771.25+98286.22+6750.25</f>
        <v>215059.745</v>
      </c>
      <c r="G75" s="146">
        <f t="shared" si="3"/>
        <v>253273.41499999998</v>
      </c>
    </row>
    <row r="76" spans="1:7" x14ac:dyDescent="0.2">
      <c r="A76" s="78" t="s">
        <v>77</v>
      </c>
      <c r="B76" s="79" t="s">
        <v>33</v>
      </c>
      <c r="C76" s="5">
        <v>20800</v>
      </c>
      <c r="D76" s="18"/>
      <c r="E76" s="18">
        <v>6240</v>
      </c>
      <c r="F76" s="18">
        <f>5200+6200</f>
        <v>11400</v>
      </c>
      <c r="G76" s="146">
        <f t="shared" si="3"/>
        <v>25960</v>
      </c>
    </row>
    <row r="77" spans="1:7" ht="22.5" x14ac:dyDescent="0.2">
      <c r="A77" s="78">
        <v>151</v>
      </c>
      <c r="B77" s="79" t="s">
        <v>34</v>
      </c>
      <c r="C77" s="5">
        <v>60000</v>
      </c>
      <c r="D77" s="18"/>
      <c r="E77" s="18">
        <v>60000</v>
      </c>
      <c r="F77" s="18"/>
      <c r="G77" s="146">
        <f t="shared" si="3"/>
        <v>0</v>
      </c>
    </row>
    <row r="78" spans="1:7" ht="22.5" x14ac:dyDescent="0.2">
      <c r="A78" s="78">
        <v>152</v>
      </c>
      <c r="B78" s="79" t="s">
        <v>35</v>
      </c>
      <c r="C78" s="5"/>
      <c r="D78" s="18"/>
      <c r="E78" s="18"/>
      <c r="F78" s="18"/>
      <c r="G78" s="146">
        <f t="shared" si="3"/>
        <v>0</v>
      </c>
    </row>
    <row r="79" spans="1:7" ht="22.5" x14ac:dyDescent="0.2">
      <c r="A79" s="78">
        <v>153</v>
      </c>
      <c r="B79" s="79" t="s">
        <v>36</v>
      </c>
      <c r="C79" s="5">
        <v>40320</v>
      </c>
      <c r="D79" s="18"/>
      <c r="E79" s="18">
        <v>40000</v>
      </c>
      <c r="F79" s="18"/>
      <c r="G79" s="146">
        <f t="shared" si="3"/>
        <v>320</v>
      </c>
    </row>
    <row r="80" spans="1:7" ht="22.5" x14ac:dyDescent="0.2">
      <c r="A80" s="78">
        <v>155</v>
      </c>
      <c r="B80" s="79" t="s">
        <v>37</v>
      </c>
      <c r="C80" s="5"/>
      <c r="D80" s="18"/>
      <c r="E80" s="18"/>
      <c r="F80" s="18"/>
      <c r="G80" s="146">
        <f t="shared" si="3"/>
        <v>0</v>
      </c>
    </row>
    <row r="81" spans="1:7" ht="22.5" x14ac:dyDescent="0.2">
      <c r="A81" s="78">
        <v>156</v>
      </c>
      <c r="B81" s="79" t="s">
        <v>134</v>
      </c>
      <c r="C81" s="5"/>
      <c r="D81" s="18"/>
      <c r="E81" s="18"/>
      <c r="F81" s="18"/>
      <c r="G81" s="146">
        <f t="shared" si="3"/>
        <v>0</v>
      </c>
    </row>
    <row r="82" spans="1:7" ht="22.5" x14ac:dyDescent="0.2">
      <c r="A82" s="78">
        <v>161</v>
      </c>
      <c r="B82" s="79" t="s">
        <v>78</v>
      </c>
      <c r="C82" s="5"/>
      <c r="D82" s="18"/>
      <c r="E82" s="18"/>
      <c r="F82" s="18"/>
      <c r="G82" s="146">
        <f t="shared" si="3"/>
        <v>0</v>
      </c>
    </row>
    <row r="83" spans="1:7" ht="22.5" x14ac:dyDescent="0.2">
      <c r="A83" s="78">
        <v>164</v>
      </c>
      <c r="B83" s="79" t="s">
        <v>38</v>
      </c>
      <c r="C83" s="5"/>
      <c r="D83" s="18"/>
      <c r="E83" s="18"/>
      <c r="F83" s="18"/>
      <c r="G83" s="146">
        <f t="shared" si="3"/>
        <v>0</v>
      </c>
    </row>
    <row r="84" spans="1:7" ht="22.5" x14ac:dyDescent="0.2">
      <c r="A84" s="78" t="s">
        <v>79</v>
      </c>
      <c r="B84" s="79" t="s">
        <v>39</v>
      </c>
      <c r="C84" s="5"/>
      <c r="D84" s="18"/>
      <c r="E84" s="18"/>
      <c r="F84" s="18"/>
      <c r="G84" s="146">
        <f t="shared" si="3"/>
        <v>0</v>
      </c>
    </row>
    <row r="85" spans="1:7" ht="22.5" x14ac:dyDescent="0.2">
      <c r="A85" s="78">
        <v>169</v>
      </c>
      <c r="B85" s="79" t="s">
        <v>80</v>
      </c>
      <c r="C85" s="5"/>
      <c r="D85" s="18"/>
      <c r="E85" s="18"/>
      <c r="F85" s="18"/>
      <c r="G85" s="146">
        <f t="shared" si="3"/>
        <v>0</v>
      </c>
    </row>
    <row r="86" spans="1:7" ht="22.5" x14ac:dyDescent="0.2">
      <c r="A86" s="78">
        <v>182</v>
      </c>
      <c r="B86" s="79" t="s">
        <v>81</v>
      </c>
      <c r="C86" s="5"/>
      <c r="D86" s="18"/>
      <c r="E86" s="18"/>
      <c r="F86" s="18"/>
      <c r="G86" s="146">
        <f t="shared" si="3"/>
        <v>0</v>
      </c>
    </row>
    <row r="87" spans="1:7" x14ac:dyDescent="0.2">
      <c r="A87" s="78">
        <v>183</v>
      </c>
      <c r="B87" s="79" t="s">
        <v>40</v>
      </c>
      <c r="C87" s="5"/>
      <c r="D87" s="18">
        <f>8170.34+1142.18</f>
        <v>9312.52</v>
      </c>
      <c r="E87" s="18"/>
      <c r="F87" s="18"/>
      <c r="G87" s="146">
        <f t="shared" si="3"/>
        <v>9312.52</v>
      </c>
    </row>
    <row r="88" spans="1:7" x14ac:dyDescent="0.2">
      <c r="A88" s="78">
        <v>185</v>
      </c>
      <c r="B88" s="79" t="s">
        <v>41</v>
      </c>
      <c r="C88" s="5"/>
      <c r="D88" s="18"/>
      <c r="E88" s="18"/>
      <c r="F88" s="18"/>
      <c r="G88" s="146">
        <f t="shared" si="3"/>
        <v>0</v>
      </c>
    </row>
    <row r="89" spans="1:7" ht="22.5" x14ac:dyDescent="0.2">
      <c r="A89" s="78">
        <v>186</v>
      </c>
      <c r="B89" s="79" t="s">
        <v>42</v>
      </c>
      <c r="C89" s="5">
        <v>24320</v>
      </c>
      <c r="D89" s="18"/>
      <c r="E89" s="18">
        <v>8829.35</v>
      </c>
      <c r="F89" s="18">
        <f>25500+7000+2000</f>
        <v>34500</v>
      </c>
      <c r="G89" s="146">
        <f t="shared" si="3"/>
        <v>49990.65</v>
      </c>
    </row>
    <row r="90" spans="1:7" ht="22.5" x14ac:dyDescent="0.2">
      <c r="A90" s="78">
        <v>187</v>
      </c>
      <c r="B90" s="79" t="s">
        <v>146</v>
      </c>
      <c r="C90" s="5"/>
      <c r="D90" s="18"/>
      <c r="E90" s="18"/>
      <c r="F90" s="18"/>
      <c r="G90" s="146">
        <f t="shared" si="3"/>
        <v>0</v>
      </c>
    </row>
    <row r="91" spans="1:7" ht="22.5" x14ac:dyDescent="0.2">
      <c r="A91" s="78">
        <v>189</v>
      </c>
      <c r="B91" s="79" t="s">
        <v>43</v>
      </c>
      <c r="C91" s="5">
        <v>93234.94</v>
      </c>
      <c r="D91" s="18">
        <v>60058.27</v>
      </c>
      <c r="E91" s="18"/>
      <c r="F91" s="18">
        <f>31000+10500+7000+500+15000</f>
        <v>64000</v>
      </c>
      <c r="G91" s="146">
        <f t="shared" si="3"/>
        <v>217293.21</v>
      </c>
    </row>
    <row r="92" spans="1:7" ht="22.5" x14ac:dyDescent="0.2">
      <c r="A92" s="78">
        <v>191</v>
      </c>
      <c r="B92" s="79" t="s">
        <v>82</v>
      </c>
      <c r="C92" s="5">
        <v>2400</v>
      </c>
      <c r="D92" s="18"/>
      <c r="E92" s="18">
        <v>3751.56</v>
      </c>
      <c r="F92" s="18">
        <f>1627.5+2929.5</f>
        <v>4557</v>
      </c>
      <c r="G92" s="146">
        <f t="shared" si="3"/>
        <v>3205.44</v>
      </c>
    </row>
    <row r="93" spans="1:7" ht="22.5" x14ac:dyDescent="0.2">
      <c r="A93" s="78" t="s">
        <v>83</v>
      </c>
      <c r="B93" s="79" t="s">
        <v>84</v>
      </c>
      <c r="C93" s="5"/>
      <c r="D93" s="18"/>
      <c r="E93" s="18"/>
      <c r="F93" s="18"/>
      <c r="G93" s="146">
        <f t="shared" si="3"/>
        <v>0</v>
      </c>
    </row>
    <row r="94" spans="1:7" ht="22.5" x14ac:dyDescent="0.2">
      <c r="A94" s="78">
        <f>195</f>
        <v>195</v>
      </c>
      <c r="B94" s="79" t="s">
        <v>85</v>
      </c>
      <c r="C94" s="5">
        <v>28767.7</v>
      </c>
      <c r="D94" s="18"/>
      <c r="E94" s="18">
        <f>25000+3607.71</f>
        <v>28607.71</v>
      </c>
      <c r="F94" s="18"/>
      <c r="G94" s="146">
        <f t="shared" si="3"/>
        <v>159.9900000000016</v>
      </c>
    </row>
    <row r="95" spans="1:7" ht="22.5" x14ac:dyDescent="0.2">
      <c r="A95" s="78">
        <v>196</v>
      </c>
      <c r="B95" s="79" t="s">
        <v>44</v>
      </c>
      <c r="C95" s="5"/>
      <c r="D95" s="18"/>
      <c r="E95" s="18">
        <v>35000</v>
      </c>
      <c r="F95" s="18">
        <f>35000+12800</f>
        <v>47800</v>
      </c>
      <c r="G95" s="146">
        <f t="shared" si="3"/>
        <v>12800</v>
      </c>
    </row>
    <row r="96" spans="1:7" x14ac:dyDescent="0.2">
      <c r="A96" s="78">
        <v>197</v>
      </c>
      <c r="B96" s="79" t="s">
        <v>45</v>
      </c>
      <c r="C96" s="5">
        <v>4704</v>
      </c>
      <c r="D96" s="18"/>
      <c r="E96" s="18">
        <v>5859</v>
      </c>
      <c r="F96" s="18">
        <f>5000+2950</f>
        <v>7950</v>
      </c>
      <c r="G96" s="146">
        <f t="shared" si="3"/>
        <v>6795</v>
      </c>
    </row>
    <row r="97" spans="1:7" ht="22.5" x14ac:dyDescent="0.2">
      <c r="A97" s="78">
        <v>199</v>
      </c>
      <c r="B97" s="84" t="s">
        <v>46</v>
      </c>
      <c r="C97" s="5"/>
      <c r="D97" s="18">
        <f>5146.29+1942.58</f>
        <v>7088.87</v>
      </c>
      <c r="E97" s="18"/>
      <c r="F97" s="18">
        <f>5500+10000+5000+2600</f>
        <v>23100</v>
      </c>
      <c r="G97" s="146">
        <f t="shared" si="3"/>
        <v>30188.87</v>
      </c>
    </row>
    <row r="98" spans="1:7" ht="21" customHeight="1" x14ac:dyDescent="0.2">
      <c r="A98" s="78" t="s">
        <v>86</v>
      </c>
      <c r="B98" s="79" t="s">
        <v>47</v>
      </c>
      <c r="C98" s="64"/>
      <c r="D98" s="64"/>
      <c r="E98" s="64"/>
      <c r="F98" s="64"/>
      <c r="G98" s="147"/>
    </row>
    <row r="99" spans="1:7" ht="21" customHeight="1" x14ac:dyDescent="0.2">
      <c r="A99" s="78">
        <v>211</v>
      </c>
      <c r="B99" s="79" t="s">
        <v>48</v>
      </c>
      <c r="C99" s="5">
        <v>6700</v>
      </c>
      <c r="D99" s="5"/>
      <c r="E99" s="5">
        <v>1942.58</v>
      </c>
      <c r="F99" s="18">
        <f>2500+15000+13600+3600+1000</f>
        <v>35700</v>
      </c>
      <c r="G99" s="68">
        <f t="shared" ref="G99:G124" si="4">+C99+D99-E99+F99</f>
        <v>40457.42</v>
      </c>
    </row>
    <row r="100" spans="1:7" ht="24.75" customHeight="1" x14ac:dyDescent="0.2">
      <c r="A100" s="78" t="s">
        <v>87</v>
      </c>
      <c r="B100" s="79" t="s">
        <v>49</v>
      </c>
      <c r="C100" s="5">
        <v>12000</v>
      </c>
      <c r="D100" s="5">
        <f>25000+30000</f>
        <v>55000</v>
      </c>
      <c r="E100" s="5"/>
      <c r="F100" s="18">
        <f>25000+10400+13000</f>
        <v>48400</v>
      </c>
      <c r="G100" s="68">
        <f t="shared" si="4"/>
        <v>115400</v>
      </c>
    </row>
    <row r="101" spans="1:7" ht="21" customHeight="1" x14ac:dyDescent="0.2">
      <c r="A101" s="78" t="s">
        <v>88</v>
      </c>
      <c r="B101" s="79" t="s">
        <v>50</v>
      </c>
      <c r="C101" s="5">
        <v>3500</v>
      </c>
      <c r="D101" s="5"/>
      <c r="E101" s="5"/>
      <c r="F101" s="5"/>
      <c r="G101" s="68">
        <f t="shared" si="4"/>
        <v>3500</v>
      </c>
    </row>
    <row r="102" spans="1:7" ht="21" customHeight="1" x14ac:dyDescent="0.2">
      <c r="A102" s="78" t="s">
        <v>89</v>
      </c>
      <c r="B102" s="79" t="s">
        <v>51</v>
      </c>
      <c r="C102" s="5"/>
      <c r="D102" s="5">
        <v>500</v>
      </c>
      <c r="E102" s="5"/>
      <c r="F102" s="5"/>
      <c r="G102" s="68">
        <f t="shared" si="4"/>
        <v>500</v>
      </c>
    </row>
    <row r="103" spans="1:7" x14ac:dyDescent="0.2">
      <c r="A103" s="78">
        <v>245</v>
      </c>
      <c r="B103" s="79" t="s">
        <v>114</v>
      </c>
      <c r="C103" s="5"/>
      <c r="D103" s="5"/>
      <c r="E103" s="5"/>
      <c r="F103" s="5"/>
      <c r="G103" s="68">
        <f t="shared" si="4"/>
        <v>0</v>
      </c>
    </row>
    <row r="104" spans="1:7" x14ac:dyDescent="0.2">
      <c r="A104" s="78">
        <v>247</v>
      </c>
      <c r="B104" s="79" t="s">
        <v>52</v>
      </c>
      <c r="C104" s="5"/>
      <c r="D104" s="5"/>
      <c r="E104" s="5"/>
      <c r="F104" s="5">
        <v>3500</v>
      </c>
      <c r="G104" s="68">
        <f t="shared" si="4"/>
        <v>3500</v>
      </c>
    </row>
    <row r="105" spans="1:7" x14ac:dyDescent="0.2">
      <c r="A105" s="78">
        <v>249</v>
      </c>
      <c r="B105" s="85" t="s">
        <v>147</v>
      </c>
      <c r="C105" s="5"/>
      <c r="D105" s="5"/>
      <c r="E105" s="5"/>
      <c r="F105" s="5"/>
      <c r="G105" s="68">
        <f t="shared" si="4"/>
        <v>0</v>
      </c>
    </row>
    <row r="106" spans="1:7" x14ac:dyDescent="0.2">
      <c r="A106" s="78">
        <v>262</v>
      </c>
      <c r="B106" s="79" t="s">
        <v>53</v>
      </c>
      <c r="C106" s="5"/>
      <c r="D106" s="5"/>
      <c r="E106" s="5"/>
      <c r="F106" s="5"/>
      <c r="G106" s="68">
        <f t="shared" si="4"/>
        <v>0</v>
      </c>
    </row>
    <row r="107" spans="1:7" ht="22.5" x14ac:dyDescent="0.2">
      <c r="A107" s="78">
        <v>266</v>
      </c>
      <c r="B107" s="79" t="s">
        <v>54</v>
      </c>
      <c r="C107" s="5"/>
      <c r="D107" s="5"/>
      <c r="E107" s="5"/>
      <c r="F107" s="5"/>
      <c r="G107" s="68">
        <f t="shared" si="4"/>
        <v>0</v>
      </c>
    </row>
    <row r="108" spans="1:7" ht="22.5" x14ac:dyDescent="0.2">
      <c r="A108" s="78" t="s">
        <v>90</v>
      </c>
      <c r="B108" s="79" t="s">
        <v>55</v>
      </c>
      <c r="C108" s="5"/>
      <c r="D108" s="5"/>
      <c r="E108" s="5"/>
      <c r="F108" s="5"/>
      <c r="G108" s="68">
        <f t="shared" si="4"/>
        <v>0</v>
      </c>
    </row>
    <row r="109" spans="1:7" ht="22.5" x14ac:dyDescent="0.2">
      <c r="A109" s="78">
        <v>268</v>
      </c>
      <c r="B109" s="45" t="s">
        <v>56</v>
      </c>
      <c r="C109" s="18">
        <v>5500</v>
      </c>
      <c r="D109" s="18"/>
      <c r="E109" s="18"/>
      <c r="F109" s="18"/>
      <c r="G109" s="68">
        <f t="shared" si="4"/>
        <v>5500</v>
      </c>
    </row>
    <row r="110" spans="1:7" x14ac:dyDescent="0.2">
      <c r="A110" s="78">
        <v>283</v>
      </c>
      <c r="B110" s="79" t="s">
        <v>57</v>
      </c>
      <c r="C110" s="5"/>
      <c r="D110" s="5"/>
      <c r="E110" s="5"/>
      <c r="F110" s="5"/>
      <c r="G110" s="68">
        <f t="shared" si="4"/>
        <v>0</v>
      </c>
    </row>
    <row r="111" spans="1:7" x14ac:dyDescent="0.2">
      <c r="A111" s="78" t="s">
        <v>91</v>
      </c>
      <c r="B111" s="79" t="s">
        <v>58</v>
      </c>
      <c r="C111" s="5">
        <v>1500</v>
      </c>
      <c r="D111" s="5"/>
      <c r="E111" s="5"/>
      <c r="F111" s="5"/>
      <c r="G111" s="68">
        <f t="shared" si="4"/>
        <v>1500</v>
      </c>
    </row>
    <row r="112" spans="1:7" ht="22.5" x14ac:dyDescent="0.2">
      <c r="A112" s="78" t="s">
        <v>92</v>
      </c>
      <c r="B112" s="45" t="s">
        <v>59</v>
      </c>
      <c r="C112" s="18">
        <v>4800</v>
      </c>
      <c r="D112" s="18"/>
      <c r="E112" s="18"/>
      <c r="F112" s="18"/>
      <c r="G112" s="68">
        <f t="shared" si="4"/>
        <v>4800</v>
      </c>
    </row>
    <row r="113" spans="1:7" ht="22.5" x14ac:dyDescent="0.2">
      <c r="A113" s="78">
        <v>294</v>
      </c>
      <c r="B113" s="45" t="s">
        <v>60</v>
      </c>
      <c r="C113" s="18"/>
      <c r="D113" s="18">
        <v>124526.04</v>
      </c>
      <c r="E113" s="18"/>
      <c r="F113" s="18">
        <f>995+25000+21060</f>
        <v>47055</v>
      </c>
      <c r="G113" s="68">
        <f t="shared" si="4"/>
        <v>171581.03999999998</v>
      </c>
    </row>
    <row r="114" spans="1:7" ht="22.5" x14ac:dyDescent="0.2">
      <c r="A114" s="78">
        <v>297</v>
      </c>
      <c r="B114" s="45" t="s">
        <v>154</v>
      </c>
      <c r="C114" s="18"/>
      <c r="D114" s="18">
        <v>507.19</v>
      </c>
      <c r="E114" s="18"/>
      <c r="F114" s="18"/>
      <c r="G114" s="68">
        <f t="shared" si="4"/>
        <v>507.19</v>
      </c>
    </row>
    <row r="115" spans="1:7" ht="22.5" x14ac:dyDescent="0.2">
      <c r="A115" s="78" t="s">
        <v>93</v>
      </c>
      <c r="B115" s="45" t="s">
        <v>61</v>
      </c>
      <c r="C115" s="18">
        <v>6000</v>
      </c>
      <c r="D115" s="18"/>
      <c r="E115" s="18"/>
      <c r="F115" s="18"/>
      <c r="G115" s="68">
        <f t="shared" si="4"/>
        <v>6000</v>
      </c>
    </row>
    <row r="116" spans="1:7" x14ac:dyDescent="0.2">
      <c r="A116" s="82" t="s">
        <v>94</v>
      </c>
      <c r="B116" s="83" t="s">
        <v>62</v>
      </c>
      <c r="C116" s="5"/>
      <c r="D116" s="5"/>
      <c r="E116" s="5"/>
      <c r="F116" s="5"/>
      <c r="G116" s="68">
        <f t="shared" si="4"/>
        <v>0</v>
      </c>
    </row>
    <row r="117" spans="1:7" x14ac:dyDescent="0.2">
      <c r="A117" s="78">
        <v>322</v>
      </c>
      <c r="B117" s="79" t="s">
        <v>63</v>
      </c>
      <c r="C117" s="5">
        <v>2500</v>
      </c>
      <c r="D117" s="5"/>
      <c r="E117" s="5"/>
      <c r="F117" s="5"/>
      <c r="G117" s="68">
        <f t="shared" si="4"/>
        <v>2500</v>
      </c>
    </row>
    <row r="118" spans="1:7" ht="22.5" x14ac:dyDescent="0.2">
      <c r="A118" s="78">
        <v>324</v>
      </c>
      <c r="B118" s="79" t="s">
        <v>72</v>
      </c>
      <c r="C118" s="5"/>
      <c r="D118" s="5"/>
      <c r="E118" s="5"/>
      <c r="F118" s="5"/>
      <c r="G118" s="68">
        <f t="shared" si="4"/>
        <v>0</v>
      </c>
    </row>
    <row r="119" spans="1:7" x14ac:dyDescent="0.2">
      <c r="A119" s="78">
        <v>328</v>
      </c>
      <c r="B119" s="79" t="s">
        <v>64</v>
      </c>
      <c r="C119" s="5"/>
      <c r="D119" s="5">
        <v>6502</v>
      </c>
      <c r="E119" s="5"/>
      <c r="F119" s="5"/>
      <c r="G119" s="68">
        <f t="shared" si="4"/>
        <v>6502</v>
      </c>
    </row>
    <row r="120" spans="1:7" x14ac:dyDescent="0.2">
      <c r="A120" s="82" t="s">
        <v>95</v>
      </c>
      <c r="B120" s="83" t="s">
        <v>65</v>
      </c>
      <c r="C120" s="5"/>
      <c r="D120" s="5"/>
      <c r="E120" s="5"/>
      <c r="F120" s="5"/>
      <c r="G120" s="68">
        <f t="shared" si="4"/>
        <v>0</v>
      </c>
    </row>
    <row r="121" spans="1:7" ht="22.5" x14ac:dyDescent="0.2">
      <c r="A121" s="78" t="s">
        <v>96</v>
      </c>
      <c r="B121" s="79" t="s">
        <v>66</v>
      </c>
      <c r="C121" s="5"/>
      <c r="D121" s="5"/>
      <c r="E121" s="5"/>
      <c r="F121" s="5"/>
      <c r="G121" s="68">
        <f t="shared" si="4"/>
        <v>0</v>
      </c>
    </row>
    <row r="122" spans="1:7" ht="22.5" x14ac:dyDescent="0.2">
      <c r="A122" s="78">
        <v>415</v>
      </c>
      <c r="B122" s="79" t="s">
        <v>67</v>
      </c>
      <c r="C122" s="5"/>
      <c r="D122" s="5"/>
      <c r="E122" s="5"/>
      <c r="F122" s="5"/>
      <c r="G122" s="68">
        <f t="shared" si="4"/>
        <v>0</v>
      </c>
    </row>
    <row r="123" spans="1:7" ht="22.5" x14ac:dyDescent="0.2">
      <c r="A123" s="78">
        <v>419</v>
      </c>
      <c r="B123" s="79" t="s">
        <v>68</v>
      </c>
      <c r="C123" s="5">
        <v>28000</v>
      </c>
      <c r="D123" s="5"/>
      <c r="E123" s="5"/>
      <c r="F123" s="5">
        <f>18785+580</f>
        <v>19365</v>
      </c>
      <c r="G123" s="68">
        <f t="shared" si="4"/>
        <v>47365</v>
      </c>
    </row>
    <row r="124" spans="1:7" ht="33.75" x14ac:dyDescent="0.2">
      <c r="A124" s="78">
        <v>472</v>
      </c>
      <c r="B124" s="79" t="s">
        <v>69</v>
      </c>
      <c r="C124" s="5">
        <v>38400</v>
      </c>
      <c r="D124" s="5"/>
      <c r="E124" s="5"/>
      <c r="F124" s="5"/>
      <c r="G124" s="68">
        <f t="shared" si="4"/>
        <v>38400</v>
      </c>
    </row>
    <row r="125" spans="1:7" ht="33.75" x14ac:dyDescent="0.2">
      <c r="A125" s="78"/>
      <c r="B125" s="79" t="s">
        <v>97</v>
      </c>
      <c r="C125" s="5"/>
      <c r="D125" s="5"/>
      <c r="E125" s="5"/>
      <c r="F125" s="5"/>
      <c r="G125" s="68">
        <f t="shared" ref="G125:G139" si="5">+C125+D125-E125+F125</f>
        <v>0</v>
      </c>
    </row>
    <row r="126" spans="1:7" ht="22.5" x14ac:dyDescent="0.2">
      <c r="A126" s="78"/>
      <c r="B126" s="79" t="s">
        <v>103</v>
      </c>
      <c r="C126" s="5">
        <v>0</v>
      </c>
      <c r="D126" s="5"/>
      <c r="E126" s="5"/>
      <c r="F126" s="5"/>
      <c r="G126" s="68">
        <f t="shared" si="5"/>
        <v>0</v>
      </c>
    </row>
    <row r="127" spans="1:7" ht="22.5" x14ac:dyDescent="0.2">
      <c r="A127" s="78"/>
      <c r="B127" s="79" t="s">
        <v>104</v>
      </c>
      <c r="C127" s="5">
        <v>0</v>
      </c>
      <c r="D127" s="5"/>
      <c r="E127" s="5"/>
      <c r="F127" s="5"/>
      <c r="G127" s="68">
        <f t="shared" si="5"/>
        <v>0</v>
      </c>
    </row>
    <row r="128" spans="1:7" x14ac:dyDescent="0.2">
      <c r="A128" s="78"/>
      <c r="B128" s="79" t="s">
        <v>105</v>
      </c>
      <c r="C128" s="5">
        <v>0</v>
      </c>
      <c r="D128" s="5"/>
      <c r="E128" s="5"/>
      <c r="F128" s="5"/>
      <c r="G128" s="68">
        <f t="shared" si="5"/>
        <v>0</v>
      </c>
    </row>
    <row r="129" spans="1:7" ht="22.5" x14ac:dyDescent="0.2">
      <c r="A129" s="78"/>
      <c r="B129" s="79" t="s">
        <v>106</v>
      </c>
      <c r="C129" s="5">
        <v>0</v>
      </c>
      <c r="D129" s="5"/>
      <c r="E129" s="5"/>
      <c r="F129" s="5"/>
      <c r="G129" s="68">
        <f t="shared" si="5"/>
        <v>0</v>
      </c>
    </row>
    <row r="130" spans="1:7" x14ac:dyDescent="0.2">
      <c r="A130" s="78"/>
      <c r="B130" s="79" t="s">
        <v>107</v>
      </c>
      <c r="C130" s="5">
        <v>0</v>
      </c>
      <c r="D130" s="5"/>
      <c r="E130" s="5"/>
      <c r="F130" s="5"/>
      <c r="G130" s="68">
        <f t="shared" si="5"/>
        <v>0</v>
      </c>
    </row>
    <row r="131" spans="1:7" x14ac:dyDescent="0.2">
      <c r="A131" s="78"/>
      <c r="B131" s="79" t="s">
        <v>148</v>
      </c>
      <c r="C131" s="5">
        <v>0</v>
      </c>
      <c r="D131" s="5"/>
      <c r="E131" s="5"/>
      <c r="F131" s="5"/>
      <c r="G131" s="68">
        <f t="shared" si="5"/>
        <v>0</v>
      </c>
    </row>
    <row r="132" spans="1:7" x14ac:dyDescent="0.2">
      <c r="A132" s="78"/>
      <c r="B132" s="79" t="s">
        <v>115</v>
      </c>
      <c r="C132" s="5">
        <v>0</v>
      </c>
      <c r="D132" s="5"/>
      <c r="E132" s="5"/>
      <c r="F132" s="5"/>
      <c r="G132" s="68">
        <f t="shared" si="5"/>
        <v>0</v>
      </c>
    </row>
    <row r="133" spans="1:7" x14ac:dyDescent="0.2">
      <c r="A133" s="78"/>
      <c r="B133" s="79" t="s">
        <v>108</v>
      </c>
      <c r="C133" s="5">
        <v>0</v>
      </c>
      <c r="D133" s="5"/>
      <c r="E133" s="5"/>
      <c r="F133" s="5"/>
      <c r="G133" s="68">
        <f t="shared" si="5"/>
        <v>0</v>
      </c>
    </row>
    <row r="134" spans="1:7" ht="33.75" x14ac:dyDescent="0.2">
      <c r="A134" s="78"/>
      <c r="B134" s="79" t="s">
        <v>123</v>
      </c>
      <c r="C134" s="5">
        <v>0</v>
      </c>
      <c r="D134" s="5"/>
      <c r="E134" s="5"/>
      <c r="F134" s="5"/>
      <c r="G134" s="68">
        <f t="shared" si="5"/>
        <v>0</v>
      </c>
    </row>
    <row r="135" spans="1:7" ht="22.5" x14ac:dyDescent="0.2">
      <c r="A135" s="78"/>
      <c r="B135" s="79" t="s">
        <v>109</v>
      </c>
      <c r="C135" s="5">
        <v>0</v>
      </c>
      <c r="D135" s="5"/>
      <c r="E135" s="5"/>
      <c r="F135" s="5"/>
      <c r="G135" s="68">
        <f t="shared" si="5"/>
        <v>0</v>
      </c>
    </row>
    <row r="136" spans="1:7" x14ac:dyDescent="0.2">
      <c r="A136" s="78"/>
      <c r="B136" s="79" t="s">
        <v>149</v>
      </c>
      <c r="C136" s="5">
        <v>0</v>
      </c>
      <c r="D136" s="5"/>
      <c r="E136" s="5"/>
      <c r="F136" s="5"/>
      <c r="G136" s="68">
        <f t="shared" si="5"/>
        <v>0</v>
      </c>
    </row>
    <row r="137" spans="1:7" x14ac:dyDescent="0.2">
      <c r="A137" s="78"/>
      <c r="B137" s="79" t="s">
        <v>110</v>
      </c>
      <c r="C137" s="5">
        <v>0</v>
      </c>
      <c r="D137" s="5"/>
      <c r="E137" s="5"/>
      <c r="F137" s="5"/>
      <c r="G137" s="68">
        <f t="shared" si="5"/>
        <v>0</v>
      </c>
    </row>
    <row r="138" spans="1:7" x14ac:dyDescent="0.2">
      <c r="A138" s="78"/>
      <c r="B138" s="79" t="s">
        <v>150</v>
      </c>
      <c r="C138" s="5"/>
      <c r="D138" s="5"/>
      <c r="E138" s="5"/>
      <c r="F138" s="5"/>
      <c r="G138" s="68">
        <f t="shared" si="5"/>
        <v>0</v>
      </c>
    </row>
    <row r="139" spans="1:7" ht="12.75" thickBot="1" x14ac:dyDescent="0.25">
      <c r="A139" s="78"/>
      <c r="B139" s="86" t="s">
        <v>113</v>
      </c>
      <c r="C139" s="87">
        <v>0</v>
      </c>
      <c r="D139" s="87"/>
      <c r="E139" s="87"/>
      <c r="F139" s="87"/>
      <c r="G139" s="148">
        <f t="shared" si="5"/>
        <v>0</v>
      </c>
    </row>
    <row r="140" spans="1:7" ht="12.75" thickBot="1" x14ac:dyDescent="0.25">
      <c r="A140" s="12"/>
      <c r="B140" s="117" t="s">
        <v>70</v>
      </c>
      <c r="C140" s="118">
        <f>SUM(C56:C139)</f>
        <v>450000</v>
      </c>
      <c r="D140" s="118">
        <f>SUM(D56:D139)</f>
        <v>321104.03999999998</v>
      </c>
      <c r="E140" s="118">
        <f>SUM(E56:E139)</f>
        <v>201840.19999999998</v>
      </c>
      <c r="F140" s="118">
        <f>SUM(F56:F139)</f>
        <v>841288.005</v>
      </c>
      <c r="G140" s="118">
        <f>SUM(G56:G139)</f>
        <v>1410551.845</v>
      </c>
    </row>
    <row r="141" spans="1:7" ht="34.5" thickBot="1" x14ac:dyDescent="0.25">
      <c r="A141" s="12"/>
      <c r="B141" s="14" t="s">
        <v>118</v>
      </c>
      <c r="C141" s="19"/>
      <c r="D141" s="13"/>
      <c r="E141" s="13"/>
      <c r="F141" s="13"/>
      <c r="G141" s="13"/>
    </row>
    <row r="142" spans="1:7" x14ac:dyDescent="0.2">
      <c r="G142" s="96"/>
    </row>
  </sheetData>
  <mergeCells count="27">
    <mergeCell ref="B48:G48"/>
    <mergeCell ref="B53:C53"/>
    <mergeCell ref="D53:F53"/>
    <mergeCell ref="B43:G43"/>
    <mergeCell ref="B46:G46"/>
    <mergeCell ref="B45:G45"/>
    <mergeCell ref="B44:G44"/>
    <mergeCell ref="B52:F52"/>
    <mergeCell ref="B49:G49"/>
    <mergeCell ref="B47:G47"/>
    <mergeCell ref="B50:G50"/>
    <mergeCell ref="B1:G1"/>
    <mergeCell ref="B7:G7"/>
    <mergeCell ref="B42:G42"/>
    <mergeCell ref="B16:G16"/>
    <mergeCell ref="B17:G17"/>
    <mergeCell ref="B13:J13"/>
    <mergeCell ref="B8:J8"/>
    <mergeCell ref="B9:J9"/>
    <mergeCell ref="B10:J10"/>
    <mergeCell ref="B38:G38"/>
    <mergeCell ref="B39:G39"/>
    <mergeCell ref="B40:G40"/>
    <mergeCell ref="B41:G41"/>
    <mergeCell ref="B11:G11"/>
    <mergeCell ref="B12:G12"/>
    <mergeCell ref="B14:J14"/>
  </mergeCells>
  <pageMargins left="1.4960629921259843" right="0.70866141732283472" top="1.5748031496062993" bottom="0.74803149606299213" header="0.31496062992125984" footer="0.31496062992125984"/>
  <pageSetup scale="70" orientation="landscape" r:id="rId1"/>
  <rowBreaks count="2" manualBreakCount="2">
    <brk id="41" max="6" man="1"/>
    <brk id="109" max="6" man="1"/>
  </rowBreaks>
  <ignoredErrors>
    <ignoredError sqref="A115:A135 A63:A113" numberStoredAsText="1"/>
    <ignoredError sqref="G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INGRESOS Y EGRESOS</vt:lpstr>
      <vt:lpstr>TRANSFERENCIA Y MODIFICACIONES</vt:lpstr>
      <vt:lpstr>'INGRESOS Y EGRESOS'!Área_de_impresión</vt:lpstr>
      <vt:lpstr>'TRANSFERENCIA Y MODIFICACIONES'!Área_de_impresión</vt:lpstr>
      <vt:lpstr>'INGRESOS Y EGRESOS'!Títulos_a_imprimir</vt:lpstr>
      <vt:lpstr>'TRANSFERENCIA Y MODIFICACIONES'!Títulos_a_imprimir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contabilidad Asokigua</cp:lastModifiedBy>
  <cp:lastPrinted>2025-01-21T19:02:35Z</cp:lastPrinted>
  <dcterms:created xsi:type="dcterms:W3CDTF">2018-09-06T17:50:41Z</dcterms:created>
  <dcterms:modified xsi:type="dcterms:W3CDTF">2025-01-21T19:02:46Z</dcterms:modified>
</cp:coreProperties>
</file>